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troduction" sheetId="1" r:id="rId4"/>
    <sheet state="visible" name="Blood Type Distribution" sheetId="2" r:id="rId5"/>
    <sheet state="visible" name="RealMonthlyData_2011" sheetId="3" r:id="rId6"/>
    <sheet state="visible" name="RealMonthlyData_2012" sheetId="4" r:id="rId7"/>
    <sheet state="visible" name="RealMonthlyData_2013" sheetId="5" r:id="rId8"/>
    <sheet state="visible" name="RealMonthlyData_2014" sheetId="6" r:id="rId9"/>
    <sheet state="visible" name="RealMonthlyData_2015" sheetId="7" r:id="rId10"/>
    <sheet state="visible" name="daily_2011" sheetId="8" r:id="rId11"/>
    <sheet state="visible" name="daily_2012" sheetId="9" r:id="rId12"/>
    <sheet state="visible" name="daily_2013" sheetId="10" r:id="rId13"/>
    <sheet state="visible" name="daily_2014" sheetId="11" r:id="rId14"/>
    <sheet state="visible" name="daily_2015" sheetId="12" r:id="rId15"/>
    <sheet state="visible" name="Master Sheet 2011  - 2015" sheetId="13" r:id="rId16"/>
    <sheet state="visible" name="βgal Colorimetric Test results" sheetId="14" r:id="rId17"/>
    <sheet state="visible" name="NAGA Colorimetric Test results" sheetId="15" r:id="rId18"/>
    <sheet state="visible" name="αGal Colorimetric Test results" sheetId="16" r:id="rId19"/>
    <sheet state="visible" name="Step1" sheetId="17" r:id="rId20"/>
    <sheet state="visible" name="ICE" sheetId="18" r:id="rId21"/>
    <sheet state="visible" name="AntigenStartingConcentration" sheetId="19" r:id="rId22"/>
    <sheet state="visible" name="Calculator" sheetId="20" r:id="rId23"/>
  </sheets>
  <definedNames/>
  <calcPr/>
</workbook>
</file>

<file path=xl/sharedStrings.xml><?xml version="1.0" encoding="utf-8"?>
<sst xmlns="http://schemas.openxmlformats.org/spreadsheetml/2006/main" count="1444" uniqueCount="371">
  <si>
    <t xml:space="preserve">Introduction: </t>
  </si>
  <si>
    <t xml:space="preserve">This spreadsheet notebook is a compilation of spreadsheet work used for our 3 main focus areas: blood supply &amp; demand, enzyme kinetics, and Antibody-Antigen modeling. </t>
  </si>
  <si>
    <t>Please be aware of annotations to any sheets.</t>
  </si>
  <si>
    <r>
      <rPr>
        <rFont val="Arial"/>
        <color theme="1"/>
      </rPr>
      <t xml:space="preserve">Remarks:
</t>
    </r>
    <r>
      <rPr>
        <rFont val="Arial"/>
        <b/>
        <color theme="1"/>
      </rPr>
      <t xml:space="preserve">Bold </t>
    </r>
    <r>
      <rPr>
        <rFont val="Arial"/>
        <color theme="1"/>
      </rPr>
      <t xml:space="preserve">data signifies randomized data and its direct derived values. </t>
    </r>
  </si>
  <si>
    <t>Remarks:</t>
  </si>
  <si>
    <r>
      <rPr>
        <rFont val="Arial"/>
        <b/>
        <color theme="1"/>
      </rPr>
      <t xml:space="preserve">Bold </t>
    </r>
    <r>
      <rPr>
        <rFont val="Arial"/>
        <b val="0"/>
        <color theme="1"/>
      </rPr>
      <t xml:space="preserve">data signifies randomized data and its direct derived values. </t>
    </r>
  </si>
  <si>
    <t>Table of Contents:</t>
  </si>
  <si>
    <t>Supply and Demand:</t>
  </si>
  <si>
    <t xml:space="preserve">Blood Type Distribution: Eponoymous </t>
  </si>
  <si>
    <t>RealMonthData_Year: Containing supply/demand for the data. In the spreadsheet processed by the coding it is known as"RealMonthlyData"</t>
  </si>
  <si>
    <r>
      <rPr>
        <rFont val="Arial"/>
        <color theme="1"/>
      </rPr>
      <t xml:space="preserve">daily_Year: Containing both daily smoothed data as well as the results to a trial of simulation conducted with +/-5% in both supply and demand data fluctuations, in </t>
    </r>
    <r>
      <rPr>
        <rFont val="Arial"/>
        <b/>
        <color theme="1"/>
      </rPr>
      <t>bold</t>
    </r>
    <r>
      <rPr>
        <rFont val="Arial"/>
        <color theme="1"/>
      </rPr>
      <t xml:space="preserve"> as an example. In processed data is is known as "daily"</t>
    </r>
  </si>
  <si>
    <r>
      <rPr>
        <rFont val="Arial"/>
        <color theme="1"/>
      </rPr>
      <t xml:space="preserve">Master Sheet 2011 -2015: Containing compiled master incidence data after 10000 randomized simulations (in </t>
    </r>
    <r>
      <rPr>
        <rFont val="Arial"/>
        <b/>
        <color theme="1"/>
      </rPr>
      <t>bold</t>
    </r>
    <r>
      <rPr>
        <rFont val="Arial"/>
        <color theme="1"/>
      </rPr>
      <t xml:space="preserve">) for every permutation in randomization ranges parameters (in </t>
    </r>
    <r>
      <rPr>
        <rFont val="Arial"/>
        <i/>
        <color theme="1"/>
      </rPr>
      <t>italics</t>
    </r>
    <r>
      <rPr>
        <rFont val="Arial"/>
        <color theme="1"/>
      </rPr>
      <t>)</t>
    </r>
  </si>
  <si>
    <t>Enzyme Kinetics Modeling:</t>
  </si>
  <si>
    <t xml:space="preserve">βgal, NAGA, αgal Colometric Test Result: Raw Data determined from exp. that becomes basis for eznyme kinetics model, plus calculations </t>
  </si>
  <si>
    <t xml:space="preserve">Antibody-Antigen Modeling </t>
  </si>
  <si>
    <t xml:space="preserve">Step 1: Containing Raw Data Referenced in other pages </t>
  </si>
  <si>
    <t>ICE: Containing ICE Tables (on reaction equilibrium) that uses the equilibirum constant to track the reaction</t>
  </si>
  <si>
    <t xml:space="preserve">AntigenStartingConcentration: Containing data on the Starting concentration for Antigens, which can be changed to other values </t>
  </si>
  <si>
    <t>Calculator: Calculator the volume of the stock solution given a number of parameters as indicated on the page</t>
  </si>
  <si>
    <t>Blood Type Percentage:</t>
  </si>
  <si>
    <t>For Taiwan, based on 2012 data</t>
  </si>
  <si>
    <t>Type A</t>
  </si>
  <si>
    <t>These distributions are used for all five years.</t>
  </si>
  <si>
    <t>Type B</t>
  </si>
  <si>
    <t>Type AB</t>
  </si>
  <si>
    <t>Type O</t>
  </si>
  <si>
    <t>Month</t>
  </si>
  <si>
    <t>Monthly Blood Collection (Units)</t>
  </si>
  <si>
    <t xml:space="preserve">Est. Monthly Demand </t>
  </si>
  <si>
    <t>Year Demand:</t>
  </si>
  <si>
    <t xml:space="preserve">Year Supply: </t>
  </si>
  <si>
    <t>THIS IS 2011</t>
  </si>
  <si>
    <t>http://intra.blood.org.tw/upload/fe3b331a-09ab-4c06-a208-4af99b1d6775.pdf</t>
  </si>
  <si>
    <t>This is 2012:</t>
  </si>
  <si>
    <t>http://intra.blood.org.tw/upload/800b2f28-957c-4e9a-ac28-2fe3197d56aa.pdf</t>
  </si>
  <si>
    <t>THIS IS 2013</t>
  </si>
  <si>
    <t>http://intra.blood.org.tw/upload/3f9ab620-cd06-472b-b500-7d637ae77e18.pdf</t>
  </si>
  <si>
    <t>THIS IS 2014</t>
  </si>
  <si>
    <t>http://intra.blood.org.tw/upload/5df216ff-95db-4062-ab16-6b5c81fc4c52.pdf</t>
  </si>
  <si>
    <t>THIS IS 2015</t>
  </si>
  <si>
    <t>http://intra.blood.org.tw/upload/067a6f62-6c21-4049-b661-f406f68628bd.pdf</t>
  </si>
  <si>
    <t>Months</t>
  </si>
  <si>
    <t>Date</t>
  </si>
  <si>
    <t>Weeks</t>
  </si>
  <si>
    <t>Days</t>
  </si>
  <si>
    <t>Supply (Before Smoothing)</t>
  </si>
  <si>
    <t>x Value for Smoothing</t>
  </si>
  <si>
    <t>Supply (After smoothing)</t>
  </si>
  <si>
    <t>Week:</t>
  </si>
  <si>
    <t>Week Supply Total:</t>
  </si>
  <si>
    <t xml:space="preserve">Week Demand Total: </t>
  </si>
  <si>
    <t>Weekly Demand Total:</t>
  </si>
  <si>
    <t>Type A, Week Supply After RNG</t>
  </si>
  <si>
    <t>Type B, Week Supply After RNG</t>
  </si>
  <si>
    <t>Type AB, Week Supply After RNG</t>
  </si>
  <si>
    <t>Type O, Week Supply After RNG</t>
  </si>
  <si>
    <t>Type A, Week Demand After RNG</t>
  </si>
  <si>
    <t>Type B, Week Demand After RNG</t>
  </si>
  <si>
    <t>Type AB, Week Demand After RNG</t>
  </si>
  <si>
    <t>Type O, Week Demand After RNG</t>
  </si>
  <si>
    <t>Type A, Week Supply - Demand After RNG (difference)</t>
  </si>
  <si>
    <t>Type B, Week Supply - Demand After RNG (difference)</t>
  </si>
  <si>
    <t>Type AB, Week Supply - Demand After RNG (difference)</t>
  </si>
  <si>
    <t>Type O, Week Demand After RNG (difference)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</si>
  <si>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</si>
  <si>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</si>
  <si>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</si>
  <si>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</si>
  <si>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</si>
  <si>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</si>
  <si>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</si>
  <si>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</si>
  <si>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</si>
  <si>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</si>
  <si>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</si>
  <si>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</si>
  <si>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*See remarks*</t>
  </si>
  <si>
    <t xml:space="preserve">*The days after 366 are used for smoothing purposes only: we are essentially assuming that the years loops back to Janurary of the same year after December ends. </t>
  </si>
  <si>
    <t>Week Demand Total After RNG:</t>
  </si>
  <si>
    <t>Week Demand Total:</t>
  </si>
  <si>
    <t>Week Supply Total After RNG:</t>
  </si>
  <si>
    <t>Year:</t>
  </si>
  <si>
    <t>supply max variation percentage (+/-)</t>
  </si>
  <si>
    <t>demand max variation percentage (+/-)</t>
  </si>
  <si>
    <t>Project applicable weeks per 10,000 years</t>
  </si>
  <si>
    <t>Percent Applicable</t>
  </si>
  <si>
    <t xml:space="preserve">Year: </t>
  </si>
  <si>
    <t>Enzyme Conc</t>
  </si>
  <si>
    <t>Substrate Conc</t>
  </si>
  <si>
    <t>total Rxn Time</t>
  </si>
  <si>
    <t>total rxn abs</t>
  </si>
  <si>
    <t>0.5 min abs</t>
  </si>
  <si>
    <t>1 min abs</t>
  </si>
  <si>
    <t>1.5 min abs</t>
  </si>
  <si>
    <t>2 min abs</t>
  </si>
  <si>
    <t>2.5 min abs</t>
  </si>
  <si>
    <t>3 min abs</t>
  </si>
  <si>
    <t>3.5 min abs</t>
  </si>
  <si>
    <t>4 min abs</t>
  </si>
  <si>
    <t>Plate Well #</t>
  </si>
  <si>
    <t>Picture/Graph</t>
  </si>
  <si>
    <t>Graph</t>
  </si>
  <si>
    <t>Yvonne, Jane 6/14</t>
  </si>
  <si>
    <t>5 U/ml bgal</t>
  </si>
  <si>
    <t>20mM ONPG</t>
  </si>
  <si>
    <t>1 hr</t>
  </si>
  <si>
    <t>Overflow</t>
  </si>
  <si>
    <t>A1</t>
  </si>
  <si>
    <t>Data for substrate conc serial dilution (10mM-0.07815mM ONPG)</t>
  </si>
  <si>
    <t>none (- control)</t>
  </si>
  <si>
    <t>A2</t>
  </si>
  <si>
    <t>2.5 U/ml bgal</t>
  </si>
  <si>
    <t>A3</t>
  </si>
  <si>
    <t>none (blank)</t>
  </si>
  <si>
    <t>A4</t>
  </si>
  <si>
    <t>C1</t>
  </si>
  <si>
    <t>0.25 U/ml bgal</t>
  </si>
  <si>
    <t>10mM ONPG</t>
  </si>
  <si>
    <t>10 min</t>
  </si>
  <si>
    <t>E1</t>
  </si>
  <si>
    <t>5 mM ONPG</t>
  </si>
  <si>
    <t>E2</t>
  </si>
  <si>
    <t>2.5 mM ONPG</t>
  </si>
  <si>
    <t>E3</t>
  </si>
  <si>
    <t>1.25 mM ONPG</t>
  </si>
  <si>
    <t>E4</t>
  </si>
  <si>
    <t>0.625 mM ONPG</t>
  </si>
  <si>
    <t>E5</t>
  </si>
  <si>
    <t>0.3125 mM ONPG</t>
  </si>
  <si>
    <t>E6</t>
  </si>
  <si>
    <t>0.1563 mM ONPG</t>
  </si>
  <si>
    <t>E7</t>
  </si>
  <si>
    <t>0.07815 mM ONPG</t>
  </si>
  <si>
    <t>E8</t>
  </si>
  <si>
    <t>Row E: ONPG 20mM - 0.1563mM</t>
  </si>
  <si>
    <t>SAME DATA AS ABOVE BUT SUBTRACTING OUT BLANK VALUES</t>
  </si>
  <si>
    <t>10 mM ONPG</t>
  </si>
  <si>
    <t>10mM ONPG overflowed (went over max absorbance) before plateauing</t>
  </si>
  <si>
    <t>TIMES FOR ABOVE VALUES (accounting for intervals when putting in enzymes)</t>
  </si>
  <si>
    <t>TIME (MIN)</t>
  </si>
  <si>
    <t>V0 (Abs/s)</t>
  </si>
  <si>
    <t>RATE</t>
  </si>
  <si>
    <t>Yvonne, Alex 6/15</t>
  </si>
  <si>
    <t>G1</t>
  </si>
  <si>
    <t>0.1 mM ONPG</t>
  </si>
  <si>
    <t>G2</t>
  </si>
  <si>
    <t>Row G: ONPG 0.2mM-1.4mM</t>
  </si>
  <si>
    <t>0.2 mM ONPG</t>
  </si>
  <si>
    <t>G3</t>
  </si>
  <si>
    <t>0.3 mM  mM ONPG</t>
  </si>
  <si>
    <t>G4</t>
  </si>
  <si>
    <t>0.4 mM ONPG</t>
  </si>
  <si>
    <t>G5</t>
  </si>
  <si>
    <t>0.5 mM ONPG</t>
  </si>
  <si>
    <t>G6</t>
  </si>
  <si>
    <t>0.6 mM ONPG</t>
  </si>
  <si>
    <t>G7</t>
  </si>
  <si>
    <t>0.7 mM ONPG</t>
  </si>
  <si>
    <t>G8</t>
  </si>
  <si>
    <t>G9</t>
  </si>
  <si>
    <t>0.1mM ONPG</t>
  </si>
  <si>
    <t>0.2mM ONPG</t>
  </si>
  <si>
    <t>0.7mM ONPG</t>
  </si>
  <si>
    <t>Yvonne, Alex 6/17</t>
  </si>
  <si>
    <t>12A</t>
  </si>
  <si>
    <t>12B</t>
  </si>
  <si>
    <t>11A</t>
  </si>
  <si>
    <t>11B</t>
  </si>
  <si>
    <t>11C</t>
  </si>
  <si>
    <t>11D</t>
  </si>
  <si>
    <t>11E</t>
  </si>
  <si>
    <t>11F</t>
  </si>
  <si>
    <t>11G</t>
  </si>
  <si>
    <t>1A</t>
  </si>
  <si>
    <t>1B</t>
  </si>
  <si>
    <t>2A</t>
  </si>
  <si>
    <t>2B</t>
  </si>
  <si>
    <t>2C</t>
  </si>
  <si>
    <t>2D</t>
  </si>
  <si>
    <t>2E</t>
  </si>
  <si>
    <t>2F</t>
  </si>
  <si>
    <t>0.4mM ONPG</t>
  </si>
  <si>
    <t>2G</t>
  </si>
  <si>
    <t>0.33 min abs</t>
  </si>
  <si>
    <t>0.66 min abs</t>
  </si>
  <si>
    <t>1.33 min abs</t>
  </si>
  <si>
    <t>1.66 min abs</t>
  </si>
  <si>
    <t>2.33 min abs</t>
  </si>
  <si>
    <t>2.66 min abs</t>
  </si>
  <si>
    <t>3.33 min abs</t>
  </si>
  <si>
    <t>3.66 min abs</t>
  </si>
  <si>
    <t>4.33 min abs</t>
  </si>
  <si>
    <t>4.66 min abs</t>
  </si>
  <si>
    <t>5 min abs</t>
  </si>
  <si>
    <t>5.33 min abs</t>
  </si>
  <si>
    <t>5.66 min abs</t>
  </si>
  <si>
    <t>6 min abs</t>
  </si>
  <si>
    <t>6.33 min abs</t>
  </si>
  <si>
    <t>6.66 min abs</t>
  </si>
  <si>
    <t>7 min abs</t>
  </si>
  <si>
    <t>7.33 min abs</t>
  </si>
  <si>
    <t>7.66 min abs</t>
  </si>
  <si>
    <t>8 min abs</t>
  </si>
  <si>
    <t>8.33 min abs</t>
  </si>
  <si>
    <t>8.66 min abs</t>
  </si>
  <si>
    <t>9 min abs</t>
  </si>
  <si>
    <t>9.33 min abs</t>
  </si>
  <si>
    <t>9.66 min abs</t>
  </si>
  <si>
    <t>10 min abs</t>
  </si>
  <si>
    <t>6/22 Laura + Enoch
With Blank Subtracted</t>
  </si>
  <si>
    <t>2.5 mM ONPG - L</t>
  </si>
  <si>
    <t>1.25 mM ONPG - L</t>
  </si>
  <si>
    <t>0.625 mM ONPG - L</t>
  </si>
  <si>
    <t>0.5 mM ONPG - L</t>
  </si>
  <si>
    <t>0.4 mM ONPG - L</t>
  </si>
  <si>
    <t>0.3125 mM ONPG - L</t>
  </si>
  <si>
    <t>0.2 mM ONPG - L</t>
  </si>
  <si>
    <t xml:space="preserve">0.1563 mM ONPG </t>
  </si>
  <si>
    <t>0.1 mM ONPG - L</t>
  </si>
  <si>
    <t>2.5 mM ONPG - R</t>
  </si>
  <si>
    <t>1.25 mM ONPG - R</t>
  </si>
  <si>
    <t>0.625 mM ONPG - R</t>
  </si>
  <si>
    <t>0.5 mM ONPG - L - R</t>
  </si>
  <si>
    <t>0.4 mM ONPG - L - R</t>
  </si>
  <si>
    <t>0.3125 mM ONPG - R</t>
  </si>
  <si>
    <t>0.2 mM ONPG - R</t>
  </si>
  <si>
    <t>0.1 mM ONPG - R</t>
  </si>
  <si>
    <t xml:space="preserve">2.5 mM ONPG </t>
  </si>
  <si>
    <t xml:space="preserve">1.25 mM ONPG </t>
  </si>
  <si>
    <t xml:space="preserve">0.625 mM ONPG </t>
  </si>
  <si>
    <t xml:space="preserve">0.5 mM ONPG </t>
  </si>
  <si>
    <t xml:space="preserve">0.4 mM ONPG </t>
  </si>
  <si>
    <t xml:space="preserve">0.3125 mM ONPG </t>
  </si>
  <si>
    <t xml:space="preserve">0.2 mM ONPG </t>
  </si>
  <si>
    <t xml:space="preserve">0.1 mM ONPG </t>
  </si>
  <si>
    <t>RATE 1</t>
  </si>
  <si>
    <t>0.5 mM ONPG - R</t>
  </si>
  <si>
    <t>0.4 mM ONPG - R</t>
  </si>
  <si>
    <t>0.3 mM ONPG - R</t>
  </si>
  <si>
    <t>0.15 mM ONPG - R</t>
  </si>
  <si>
    <t>RATE 2</t>
  </si>
  <si>
    <t>INSERT NEW TRIALS HERE, BY ADDING ROWS HERE, ONLY ADJUST STUFF BETWEEN THESE TWO RED LINES</t>
  </si>
  <si>
    <t>Enoch, Alex 6/29</t>
  </si>
  <si>
    <t>5 mM</t>
  </si>
  <si>
    <t>10 mM</t>
  </si>
  <si>
    <t>0.1 mM</t>
  </si>
  <si>
    <t>0.156 mM</t>
  </si>
  <si>
    <t>0.2 mM</t>
  </si>
  <si>
    <t>0.3125 mM</t>
  </si>
  <si>
    <t>0.4 mM</t>
  </si>
  <si>
    <t>0.5 mM</t>
  </si>
  <si>
    <t>0.625 mM</t>
  </si>
  <si>
    <t>1.25 mM</t>
  </si>
  <si>
    <t>2.5 mM</t>
  </si>
  <si>
    <t>Yvonne, Laura 7/1</t>
  </si>
  <si>
    <t xml:space="preserve">0.156 mM ONPG </t>
  </si>
  <si>
    <t xml:space="preserve">5 mM ONPG </t>
  </si>
  <si>
    <t xml:space="preserve">10 mM ONPG </t>
  </si>
  <si>
    <t>n/a</t>
  </si>
  <si>
    <t>Subst Conc</t>
  </si>
  <si>
    <t>mM ONPG</t>
  </si>
  <si>
    <t>mM/s</t>
  </si>
  <si>
    <t>new SE</t>
  </si>
  <si>
    <t>Vmax:</t>
  </si>
  <si>
    <t>Km:</t>
  </si>
  <si>
    <t xml:space="preserve">1/2 Vmax: </t>
  </si>
  <si>
    <t>V0</t>
  </si>
  <si>
    <t>Abs/s</t>
  </si>
  <si>
    <t>Standard error</t>
  </si>
  <si>
    <t>[S]</t>
  </si>
  <si>
    <t>Curve</t>
  </si>
  <si>
    <t>Km</t>
  </si>
  <si>
    <t>Vmax</t>
  </si>
  <si>
    <t>1/mM ONPG, 1/[S]</t>
  </si>
  <si>
    <t>1/V0</t>
  </si>
  <si>
    <t xml:space="preserve"> </t>
  </si>
  <si>
    <t>min</t>
  </si>
  <si>
    <t>mM</t>
  </si>
  <si>
    <t>V0 (mM/min)</t>
  </si>
  <si>
    <t>SE</t>
  </si>
  <si>
    <t>RATE (no staggering)</t>
  </si>
  <si>
    <t>ROOM TEMP</t>
  </si>
  <si>
    <t>^ Red indicates mistake of adding 10 microL enzyme instead of 1</t>
  </si>
  <si>
    <t>Time (s)</t>
  </si>
  <si>
    <t>^ Red wrong</t>
  </si>
  <si>
    <t>absorbance readings</t>
  </si>
  <si>
    <t>time(s)</t>
  </si>
  <si>
    <t>V0 (Abs/min)</t>
  </si>
  <si>
    <t>V0 (mM/s)</t>
  </si>
  <si>
    <t>RATE (accounting staggering)</t>
  </si>
  <si>
    <t>RBC UNITS IN MILLIONS</t>
  </si>
  <si>
    <t>The normal RBC range for men is 4.7 to 6.1 million cells per microliter (mcL).</t>
  </si>
  <si>
    <t>The normal RBC range for women who aren’t pregnant is 4.2 to 5.4 million mcL.</t>
  </si>
  <si>
    <t>Assume RBC conc per μL</t>
  </si>
  <si>
    <t>million</t>
  </si>
  <si>
    <t>Assume solution volume mL:</t>
  </si>
  <si>
    <t>Total RBC:</t>
  </si>
  <si>
    <t>Assume enzyme efficiency:</t>
  </si>
  <si>
    <t xml:space="preserve">Successfully cleaved: </t>
  </si>
  <si>
    <t>Uncleaved:</t>
  </si>
  <si>
    <t>If we are not using a column,</t>
  </si>
  <si>
    <t>Assuming reaction goes to equilibrium</t>
  </si>
  <si>
    <t>Assume reaction is in the form: 1 antibody + 2 antigens =&gt; 1 complex</t>
  </si>
  <si>
    <t>Keq = [complex]/( [antibody] * [antigen]^2)</t>
  </si>
  <si>
    <t>Assume that # of antibodies that bind to one RBC:</t>
  </si>
  <si>
    <t>Assume that # complex/cell = antibodies that bind:</t>
  </si>
  <si>
    <t>no millions</t>
  </si>
  <si>
    <t>total # of complex:</t>
  </si>
  <si>
    <t>conc of complex (/μL):</t>
  </si>
  <si>
    <t>Lowest Keq:</t>
  </si>
  <si>
    <t>(L/mol)</t>
  </si>
  <si>
    <t>Highest Keq:</t>
  </si>
  <si>
    <t>Keq Min</t>
  </si>
  <si>
    <t>ICE table Antigen Min, Keq Min, A</t>
  </si>
  <si>
    <t>ICE table Antigen Max, Keq Min, A</t>
  </si>
  <si>
    <t>1 antibody</t>
  </si>
  <si>
    <t>2 antigen</t>
  </si>
  <si>
    <t>&lt;=&gt;</t>
  </si>
  <si>
    <t>1 complex</t>
  </si>
  <si>
    <t>Initial conc (/μL)</t>
  </si>
  <si>
    <t>y</t>
  </si>
  <si>
    <t>Change(var)</t>
  </si>
  <si>
    <t>(-x)</t>
  </si>
  <si>
    <t>(-2x)</t>
  </si>
  <si>
    <t>(+x)</t>
  </si>
  <si>
    <t>Change(num)</t>
  </si>
  <si>
    <t>Equilibrium</t>
  </si>
  <si>
    <t>equals</t>
  </si>
  <si>
    <t>K:</t>
  </si>
  <si>
    <t>Keq Max</t>
  </si>
  <si>
    <t>ICE table Antigen Min, Keq Max, A</t>
  </si>
  <si>
    <t>Antigen Density per Cell (/1μm^2)</t>
  </si>
  <si>
    <t>Assuming cell area 134.3 μm^2</t>
  </si>
  <si>
    <t>A</t>
  </si>
  <si>
    <t>B</t>
  </si>
  <si>
    <t>Cell 1</t>
  </si>
  <si>
    <t>Antigen</t>
  </si>
  <si>
    <t>Cell 2</t>
  </si>
  <si>
    <t>Average</t>
  </si>
  <si>
    <t>Standard Dev</t>
  </si>
  <si>
    <t>Standard Error</t>
  </si>
  <si>
    <t>Density Range:</t>
  </si>
  <si>
    <t>Total # of antigens range per cell:</t>
  </si>
  <si>
    <t>Total # of antigens/solution:</t>
  </si>
  <si>
    <t>Conc in μL:</t>
  </si>
  <si>
    <r>
      <rPr>
        <rFont val="Arial"/>
        <color theme="1"/>
      </rPr>
      <t>Antibody concentration, when the equilibrium constant and the number of antibody molecules bound per cell are known (</t>
    </r>
    <r>
      <rPr>
        <rFont val="Arial"/>
        <b/>
        <color theme="1"/>
      </rPr>
      <t>KEQ MIN + ANTIGEN MAX = TOTAL ANTIBODIES NEEDED MAX</t>
    </r>
    <r>
      <rPr>
        <rFont val="Arial"/>
        <color theme="1"/>
      </rPr>
      <t>)</t>
    </r>
  </si>
  <si>
    <r>
      <rPr>
        <rFont val="Arial"/>
        <color theme="1"/>
      </rPr>
      <t>Antibody concentration, when the equilibrium constant and the number of antibody molecules bound per cell are known (</t>
    </r>
    <r>
      <rPr>
        <rFont val="Arial"/>
        <b/>
        <color theme="1"/>
      </rPr>
      <t>KEQ MAX + ANTIGEN MIN = TOTAL ANTIBODIES NEEDED MIN</t>
    </r>
    <r>
      <rPr>
        <rFont val="Arial"/>
        <color theme="1"/>
      </rPr>
      <t>)</t>
    </r>
  </si>
  <si>
    <t>Inputs</t>
  </si>
  <si>
    <t>Volume of serum/plasma (μL)</t>
  </si>
  <si>
    <t xml:space="preserve">Keq in formula must be expressed in 1/(mole fraction) rather than in units of L/mol, as usually reported in the immunohaematological literature. The conversion formula is L/mol = 55.56/(mole fraction). </t>
  </si>
  <si>
    <t>Output</t>
  </si>
  <si>
    <t>Volume of RBC suspension (μL)</t>
  </si>
  <si>
    <t>[uncleaved RBC] (#/μL)</t>
  </si>
  <si>
    <t>Volume of diluent/potentiator (μL)</t>
  </si>
  <si>
    <t>Antigen sites per cell</t>
  </si>
  <si>
    <t>Equilibrium constant</t>
  </si>
  <si>
    <t>Antibody molecules bound per cell</t>
  </si>
  <si>
    <t>Antibody molar mass</t>
  </si>
  <si>
    <t>Kit antibody concentration (μg/mL)</t>
  </si>
  <si>
    <t>Avogadro’s number</t>
  </si>
  <si>
    <t>Number of RBC per litre</t>
  </si>
  <si>
    <t>Total antigen concentration (mol/L)</t>
  </si>
  <si>
    <t>Antigen-antibody complex concentration (mol/L)</t>
  </si>
  <si>
    <t>Free antibody concentration (mol/L)</t>
  </si>
  <si>
    <t>Total antibody concentration (mol/L)</t>
  </si>
  <si>
    <t>Bound antibody (%)</t>
  </si>
  <si>
    <t>Total antibody concentration (#/μL)</t>
  </si>
  <si>
    <t># of antibodies needed</t>
  </si>
  <si>
    <t>Moles of antibodies needed</t>
  </si>
  <si>
    <t>Mass of antibodies needed (μg)</t>
  </si>
  <si>
    <t>Volume of stock antibody solution needed (μL)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</si>
</sst>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0.000000"/>
    <numFmt numFmtId="165" formatCode="yyyy/m/d"/>
    <numFmt numFmtId="166" formatCode="m/d"/>
    <numFmt numFmtId="167" formatCode="0.00000"/>
    <numFmt numFmtId="168" formatCode="0.0000000E+00"/>
    <numFmt numFmtId="169" formatCode="0.0000"/>
    <numFmt numFmtId="170" formatCode="0.00000E+00"/>
  </numFmts>
  <fonts count="23">
    <font>
      <sz val="10.0"/>
      <color rgb="FF000000"/>
      <name val="Arial"/>
    </font>
    <font/>
    <font>
      <color theme="1"/>
      <name val="Arial"/>
    </font>
    <font>
      <b/>
      <color theme="1"/>
      <name val="Arial"/>
    </font>
    <font>
      <i/>
    </font>
    <font>
      <i/>
      <u/>
      <color theme="1"/>
      <name val="Arial"/>
    </font>
    <font>
      <u/>
      <color rgb="FF1155CC"/>
      <name val="Arial"/>
    </font>
    <font>
      <color rgb="FF000000"/>
      <name val="Arial"/>
    </font>
    <font>
      <b/>
      <color rgb="FF000000"/>
      <name val="Arial"/>
    </font>
    <font>
      <sz val="11.0"/>
      <color rgb="FF0F5223"/>
      <name val="Arial"/>
    </font>
    <font>
      <sz val="11.0"/>
      <color rgb="FF0F5223"/>
      <name val="Monospace"/>
    </font>
    <font>
      <name val="Arial"/>
    </font>
    <font>
      <i/>
      <name val="Arial"/>
    </font>
    <font>
      <b/>
      <name val="Arial"/>
    </font>
    <font>
      <i/>
      <color theme="1"/>
      <name val="Arial"/>
    </font>
    <font>
      <sz val="11.0"/>
      <color theme="1"/>
      <name val="Calibri"/>
    </font>
    <font>
      <b/>
      <sz val="14.0"/>
      <color theme="1"/>
      <name val="Arial"/>
    </font>
    <font>
      <sz val="12.0"/>
      <color theme="1"/>
      <name val="Calibri"/>
    </font>
    <font>
      <sz val="11.0"/>
      <name val="Calibri"/>
    </font>
    <font>
      <sz val="11.0"/>
      <color theme="1"/>
      <name val="Docs-Calibri"/>
    </font>
    <font>
      <b/>
      <color theme="1"/>
      <name val="&quot;Times New Roman&quot;"/>
    </font>
    <font>
      <b/>
      <color rgb="FFFF0000"/>
      <name val="Arial"/>
    </font>
    <font>
      <sz val="11.0"/>
      <color rgb="FF3C4043"/>
      <name val="Roboto"/>
    </font>
  </fonts>
  <fills count="21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434343"/>
        <bgColor rgb="FF434343"/>
      </patternFill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EA4335"/>
        <bgColor rgb="FFEA4335"/>
      </patternFill>
    </fill>
    <fill>
      <patternFill patternType="solid">
        <fgColor rgb="FFFFFCF0"/>
        <bgColor rgb="FFFFFCF0"/>
      </patternFill>
    </fill>
    <fill>
      <patternFill patternType="solid">
        <fgColor rgb="FFE06666"/>
        <bgColor rgb="FFE06666"/>
      </patternFill>
    </fill>
    <fill>
      <patternFill patternType="solid">
        <fgColor rgb="FFA4C2F4"/>
        <bgColor rgb="FFA4C2F4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2" numFmtId="10" xfId="0" applyAlignment="1" applyFont="1" applyNumberFormat="1">
      <alignment readingOrder="0"/>
    </xf>
    <xf borderId="0" fillId="0" fontId="1" numFmtId="10" xfId="0" applyAlignment="1" applyFont="1" applyNumberFormat="1">
      <alignment readingOrder="0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0" fontId="2" numFmtId="0" xfId="0" applyAlignment="1" applyFont="1">
      <alignment readingOrder="0" vertical="bottom"/>
    </xf>
    <xf borderId="1" fillId="0" fontId="6" numFmtId="0" xfId="0" applyAlignment="1" applyBorder="1" applyFont="1">
      <alignment shrinkToFit="0" vertical="bottom" wrapText="0"/>
    </xf>
    <xf borderId="1" fillId="0" fontId="2" numFmtId="0" xfId="0" applyAlignment="1" applyBorder="1" applyFont="1">
      <alignment vertical="bottom"/>
    </xf>
    <xf borderId="0" fillId="2" fontId="7" numFmtId="0" xfId="0" applyAlignment="1" applyFill="1" applyFont="1">
      <alignment readingOrder="0" shrinkToFit="0" vertical="bottom" wrapText="0"/>
    </xf>
    <xf borderId="0" fillId="0" fontId="2" numFmtId="164" xfId="0" applyAlignment="1" applyFont="1" applyNumberFormat="1">
      <alignment vertical="bottom"/>
    </xf>
    <xf borderId="0" fillId="0" fontId="7" numFmtId="0" xfId="0" applyAlignment="1" applyFont="1">
      <alignment readingOrder="0" shrinkToFit="0" vertical="bottom" wrapText="0"/>
    </xf>
    <xf borderId="0" fillId="0" fontId="8" numFmtId="0" xfId="0" applyAlignment="1" applyFont="1">
      <alignment readingOrder="0" shrinkToFit="0" vertical="bottom" wrapText="0"/>
    </xf>
    <xf borderId="0" fillId="3" fontId="8" numFmtId="0" xfId="0" applyAlignment="1" applyFill="1" applyFont="1">
      <alignment horizontal="left" readingOrder="0" shrinkToFit="0" vertical="bottom" wrapText="0"/>
    </xf>
    <xf borderId="0" fillId="0" fontId="8" numFmtId="0" xfId="0" applyAlignment="1" applyFont="1">
      <alignment shrinkToFit="0" vertical="bottom" wrapText="0"/>
    </xf>
    <xf borderId="0" fillId="2" fontId="7" numFmtId="165" xfId="0" applyAlignment="1" applyFont="1" applyNumberFormat="1">
      <alignment horizontal="right" readingOrder="0" shrinkToFit="0" vertical="bottom" wrapText="0"/>
    </xf>
    <xf borderId="0" fillId="2" fontId="7" numFmtId="0" xfId="0" applyAlignment="1" applyFont="1">
      <alignment horizontal="right" readingOrder="0" shrinkToFit="0" vertical="bottom" wrapText="0"/>
    </xf>
    <xf borderId="0" fillId="2" fontId="9" numFmtId="0" xfId="0" applyAlignment="1" applyFont="1">
      <alignment horizontal="left" readingOrder="0" shrinkToFit="0" vertical="bottom" wrapText="0"/>
    </xf>
    <xf borderId="0" fillId="0" fontId="2" numFmtId="164" xfId="0" applyAlignment="1" applyFont="1" applyNumberFormat="1">
      <alignment horizontal="right" vertical="bottom"/>
    </xf>
    <xf borderId="0" fillId="3" fontId="2" numFmtId="0" xfId="0" applyAlignment="1" applyFont="1">
      <alignment vertical="bottom"/>
    </xf>
    <xf borderId="0" fillId="0" fontId="7" numFmtId="0" xfId="0" applyAlignment="1" applyFont="1">
      <alignment horizontal="right" readingOrder="0" shrinkToFit="0" vertical="bottom" wrapText="0"/>
    </xf>
    <xf borderId="0" fillId="0" fontId="8" numFmtId="0" xfId="0" applyAlignment="1" applyFont="1">
      <alignment horizontal="right" readingOrder="0" shrinkToFit="0" vertical="bottom" wrapText="0"/>
    </xf>
    <xf borderId="0" fillId="2" fontId="10" numFmtId="0" xfId="0" applyAlignment="1" applyFont="1">
      <alignment horizontal="left"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2" fontId="7" numFmtId="0" xfId="0" applyAlignment="1" applyFont="1">
      <alignment shrinkToFit="0" vertical="bottom" wrapText="0"/>
    </xf>
    <xf borderId="0" fillId="2" fontId="2" numFmtId="0" xfId="0" applyFont="1"/>
    <xf borderId="0" fillId="0" fontId="11" numFmtId="0" xfId="0" applyAlignment="1" applyFont="1">
      <alignment readingOrder="0" vertical="bottom"/>
    </xf>
    <xf borderId="0" fillId="2" fontId="1" numFmtId="0" xfId="0" applyAlignment="1" applyFont="1">
      <alignment readingOrder="0"/>
    </xf>
    <xf borderId="0" fillId="2" fontId="2" numFmtId="0" xfId="0" applyAlignment="1" applyFont="1">
      <alignment vertical="bottom"/>
    </xf>
    <xf borderId="0" fillId="2" fontId="2" numFmtId="164" xfId="0" applyAlignment="1" applyFont="1" applyNumberFormat="1">
      <alignment vertical="bottom"/>
    </xf>
    <xf borderId="0" fillId="2" fontId="2" numFmtId="0" xfId="0" applyAlignment="1" applyFont="1">
      <alignment horizontal="right" vertical="bottom"/>
    </xf>
    <xf borderId="0" fillId="2" fontId="2" numFmtId="164" xfId="0" applyAlignment="1" applyFont="1" applyNumberFormat="1">
      <alignment horizontal="right" vertical="bottom"/>
    </xf>
    <xf borderId="0" fillId="3" fontId="10" numFmtId="0" xfId="0" applyAlignment="1" applyFont="1">
      <alignment horizontal="left" shrinkToFit="0" vertical="bottom" wrapText="0"/>
    </xf>
    <xf borderId="0" fillId="2" fontId="8" numFmtId="0" xfId="0" applyAlignment="1" applyFont="1">
      <alignment readingOrder="0" shrinkToFit="0" vertical="bottom" wrapText="0"/>
    </xf>
    <xf borderId="0" fillId="2" fontId="8" numFmtId="0" xfId="0" applyAlignment="1" applyFont="1">
      <alignment horizontal="left" readingOrder="0" shrinkToFit="0" vertical="bottom" wrapText="0"/>
    </xf>
    <xf borderId="0" fillId="2" fontId="8" numFmtId="0" xfId="0" applyAlignment="1" applyFont="1">
      <alignment shrinkToFit="0" vertical="bottom" wrapText="0"/>
    </xf>
    <xf borderId="0" fillId="2" fontId="8" numFmtId="0" xfId="0" applyAlignment="1" applyFont="1">
      <alignment horizontal="right" readingOrder="0" shrinkToFit="0" vertical="bottom" wrapText="0"/>
    </xf>
    <xf borderId="0" fillId="2" fontId="11" numFmtId="0" xfId="0" applyAlignment="1" applyFont="1">
      <alignment vertical="bottom"/>
    </xf>
    <xf borderId="0" fillId="2" fontId="10" numFmtId="0" xfId="0" applyAlignment="1" applyFont="1">
      <alignment horizontal="left" shrinkToFit="0" vertical="bottom" wrapText="0"/>
    </xf>
    <xf borderId="0" fillId="0" fontId="12" numFmtId="0" xfId="0" applyAlignment="1" applyFont="1">
      <alignment readingOrder="0" vertical="bottom"/>
    </xf>
    <xf borderId="0" fillId="0" fontId="13" numFmtId="0" xfId="0" applyAlignment="1" applyFont="1">
      <alignment vertical="bottom"/>
    </xf>
    <xf borderId="0" fillId="0" fontId="12" numFmtId="0" xfId="0" applyAlignment="1" applyFont="1">
      <alignment horizontal="right" vertical="bottom"/>
    </xf>
    <xf borderId="0" fillId="0" fontId="13" numFmtId="0" xfId="0" applyAlignment="1" applyFont="1">
      <alignment horizontal="right" vertical="bottom"/>
    </xf>
    <xf borderId="0" fillId="0" fontId="3" numFmtId="0" xfId="0" applyAlignment="1" applyFont="1">
      <alignment horizontal="right" vertical="bottom"/>
    </xf>
    <xf borderId="1" fillId="0" fontId="11" numFmtId="0" xfId="0" applyAlignment="1" applyBorder="1" applyFont="1">
      <alignment shrinkToFit="0" vertical="bottom" wrapText="0"/>
    </xf>
    <xf borderId="0" fillId="0" fontId="14" numFmtId="0" xfId="0" applyFont="1"/>
    <xf borderId="0" fillId="0" fontId="3" numFmtId="0" xfId="0" applyFont="1"/>
    <xf borderId="1" fillId="0" fontId="13" numFmtId="0" xfId="0" applyAlignment="1" applyBorder="1" applyFont="1">
      <alignment vertical="bottom"/>
    </xf>
    <xf borderId="0" fillId="0" fontId="11" numFmtId="0" xfId="0" applyAlignment="1" applyFont="1">
      <alignment horizontal="right" vertical="bottom"/>
    </xf>
    <xf borderId="0" fillId="4" fontId="2" numFmtId="0" xfId="0" applyAlignment="1" applyFill="1" applyFont="1">
      <alignment vertical="bottom"/>
    </xf>
    <xf borderId="0" fillId="5" fontId="2" numFmtId="0" xfId="0" applyAlignment="1" applyFill="1" applyFont="1">
      <alignment vertical="bottom"/>
    </xf>
    <xf borderId="0" fillId="6" fontId="2" numFmtId="0" xfId="0" applyAlignment="1" applyFill="1" applyFont="1">
      <alignment vertical="bottom"/>
    </xf>
    <xf borderId="0" fillId="6" fontId="2" numFmtId="0" xfId="0" applyAlignment="1" applyFont="1">
      <alignment horizontal="right" vertical="bottom"/>
    </xf>
    <xf borderId="0" fillId="7" fontId="2" numFmtId="0" xfId="0" applyAlignment="1" applyFill="1" applyFont="1">
      <alignment vertical="bottom"/>
    </xf>
    <xf borderId="0" fillId="0" fontId="2" numFmtId="0" xfId="0" applyAlignment="1" applyFont="1">
      <alignment horizontal="center" vertical="bottom"/>
    </xf>
    <xf borderId="0" fillId="8" fontId="2" numFmtId="0" xfId="0" applyAlignment="1" applyFill="1" applyFont="1">
      <alignment vertical="bottom"/>
    </xf>
    <xf borderId="0" fillId="8" fontId="2" numFmtId="166" xfId="0" applyAlignment="1" applyFont="1" applyNumberFormat="1">
      <alignment vertical="bottom"/>
    </xf>
    <xf borderId="0" fillId="0" fontId="3" numFmtId="0" xfId="0" applyAlignment="1" applyFont="1">
      <alignment shrinkToFit="0" wrapText="1"/>
    </xf>
    <xf borderId="0" fillId="9" fontId="2" numFmtId="0" xfId="0" applyAlignment="1" applyFill="1" applyFont="1">
      <alignment vertical="bottom"/>
    </xf>
    <xf borderId="0" fillId="9" fontId="2" numFmtId="0" xfId="0" applyAlignment="1" applyFont="1">
      <alignment horizontal="right" vertical="bottom"/>
    </xf>
    <xf borderId="1" fillId="3" fontId="2" numFmtId="0" xfId="0" applyAlignment="1" applyBorder="1" applyFont="1">
      <alignment shrinkToFit="0" vertical="bottom" wrapText="0"/>
    </xf>
    <xf borderId="0" fillId="0" fontId="2" numFmtId="166" xfId="0" applyAlignment="1" applyFont="1" applyNumberFormat="1">
      <alignment vertical="bottom"/>
    </xf>
    <xf borderId="0" fillId="6" fontId="2" numFmtId="2" xfId="0" applyAlignment="1" applyFont="1" applyNumberFormat="1">
      <alignment horizontal="right" vertical="bottom"/>
    </xf>
    <xf borderId="0" fillId="10" fontId="2" numFmtId="0" xfId="0" applyAlignment="1" applyFill="1" applyFont="1">
      <alignment vertical="bottom"/>
    </xf>
    <xf borderId="0" fillId="0" fontId="2" numFmtId="167" xfId="0" applyAlignment="1" applyFont="1" applyNumberFormat="1">
      <alignment horizontal="right" vertical="bottom"/>
    </xf>
    <xf borderId="0" fillId="11" fontId="2" numFmtId="0" xfId="0" applyAlignment="1" applyFill="1" applyFont="1">
      <alignment vertical="bottom"/>
    </xf>
    <xf borderId="0" fillId="0" fontId="2" numFmtId="0" xfId="0" applyAlignment="1" applyFont="1">
      <alignment horizontal="right" vertical="top"/>
    </xf>
    <xf borderId="0" fillId="9" fontId="2" numFmtId="0" xfId="0" applyAlignment="1" applyFont="1">
      <alignment horizontal="right" vertical="top"/>
    </xf>
    <xf borderId="0" fillId="0" fontId="2" numFmtId="167" xfId="0" applyAlignment="1" applyFont="1" applyNumberFormat="1">
      <alignment vertical="bottom"/>
    </xf>
    <xf borderId="0" fillId="12" fontId="2" numFmtId="0" xfId="0" applyAlignment="1" applyFill="1" applyFont="1">
      <alignment vertical="bottom"/>
    </xf>
    <xf borderId="0" fillId="12" fontId="2" numFmtId="166" xfId="0" applyAlignment="1" applyFont="1" applyNumberFormat="1">
      <alignment vertical="bottom"/>
    </xf>
    <xf borderId="0" fillId="0" fontId="15" numFmtId="0" xfId="0" applyAlignment="1" applyFont="1">
      <alignment horizontal="right" vertical="bottom"/>
    </xf>
    <xf borderId="0" fillId="9" fontId="2" numFmtId="0" xfId="0" applyAlignment="1" applyFont="1">
      <alignment vertical="top"/>
    </xf>
    <xf borderId="0" fillId="0" fontId="3" numFmtId="166" xfId="0" applyAlignment="1" applyFont="1" applyNumberFormat="1">
      <alignment shrinkToFit="0" wrapText="1"/>
    </xf>
    <xf borderId="0" fillId="13" fontId="2" numFmtId="0" xfId="0" applyAlignment="1" applyFill="1" applyFont="1">
      <alignment vertical="bottom"/>
    </xf>
    <xf borderId="0" fillId="0" fontId="3" numFmtId="0" xfId="0" applyAlignment="1" applyFont="1">
      <alignment horizontal="center" shrinkToFit="0" vertical="bottom" wrapText="1"/>
    </xf>
    <xf borderId="0" fillId="0" fontId="2" numFmtId="2" xfId="0" applyAlignment="1" applyFont="1" applyNumberFormat="1">
      <alignment horizontal="right" vertical="bottom"/>
    </xf>
    <xf borderId="0" fillId="14" fontId="2" numFmtId="0" xfId="0" applyAlignment="1" applyFill="1" applyFont="1">
      <alignment horizontal="right" vertical="bottom"/>
    </xf>
    <xf borderId="0" fillId="14" fontId="2" numFmtId="0" xfId="0" applyAlignment="1" applyFont="1">
      <alignment vertical="bottom"/>
    </xf>
    <xf borderId="0" fillId="15" fontId="2" numFmtId="0" xfId="0" applyAlignment="1" applyFill="1" applyFont="1">
      <alignment vertical="bottom"/>
    </xf>
    <xf borderId="1" fillId="0" fontId="16" numFmtId="0" xfId="0" applyAlignment="1" applyBorder="1" applyFont="1">
      <alignment shrinkToFit="0" vertical="bottom" wrapText="0"/>
    </xf>
    <xf borderId="0" fillId="0" fontId="2" numFmtId="0" xfId="0" applyAlignment="1" applyFont="1">
      <alignment vertical="top"/>
    </xf>
    <xf borderId="0" fillId="0" fontId="2" numFmtId="2" xfId="0" applyAlignment="1" applyFont="1" applyNumberFormat="1">
      <alignment vertical="bottom"/>
    </xf>
    <xf borderId="0" fillId="9" fontId="2" numFmtId="0" xfId="0" applyFont="1"/>
    <xf borderId="0" fillId="11" fontId="2" numFmtId="0" xfId="0" applyFont="1"/>
    <xf borderId="0" fillId="11" fontId="2" numFmtId="167" xfId="0" applyAlignment="1" applyFont="1" applyNumberFormat="1">
      <alignment vertical="bottom"/>
    </xf>
    <xf borderId="1" fillId="0" fontId="3" numFmtId="0" xfId="0" applyBorder="1" applyFont="1"/>
    <xf borderId="0" fillId="10" fontId="15" numFmtId="0" xfId="0" applyAlignment="1" applyFont="1">
      <alignment vertical="bottom"/>
    </xf>
    <xf borderId="0" fillId="10" fontId="15" numFmtId="167" xfId="0" applyAlignment="1" applyFont="1" applyNumberFormat="1">
      <alignment horizontal="right" vertical="bottom"/>
    </xf>
    <xf borderId="0" fillId="10" fontId="2" numFmtId="167" xfId="0" applyAlignment="1" applyFont="1" applyNumberFormat="1">
      <alignment horizontal="right" vertical="bottom"/>
    </xf>
    <xf borderId="1" fillId="12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10" fontId="2" numFmtId="0" xfId="0" applyAlignment="1" applyBorder="1" applyFont="1">
      <alignment horizontal="right" vertical="bottom"/>
    </xf>
    <xf borderId="1" fillId="0" fontId="2" numFmtId="167" xfId="0" applyAlignment="1" applyBorder="1" applyFont="1" applyNumberFormat="1">
      <alignment horizontal="right" vertical="bottom"/>
    </xf>
    <xf borderId="1" fillId="15" fontId="2" numFmtId="167" xfId="0" applyAlignment="1" applyBorder="1" applyFont="1" applyNumberFormat="1">
      <alignment horizontal="right" vertical="bottom"/>
    </xf>
    <xf borderId="1" fillId="15" fontId="2" numFmtId="0" xfId="0" applyAlignment="1" applyBorder="1" applyFont="1">
      <alignment horizontal="right" vertical="bottom"/>
    </xf>
    <xf borderId="0" fillId="0" fontId="15" numFmtId="0" xfId="0" applyAlignment="1" applyFont="1">
      <alignment horizontal="right" vertical="bottom"/>
    </xf>
    <xf borderId="0" fillId="0" fontId="17" numFmtId="0" xfId="0" applyAlignment="1" applyFont="1">
      <alignment vertical="bottom"/>
    </xf>
    <xf borderId="0" fillId="0" fontId="17" numFmtId="0" xfId="0" applyAlignment="1" applyFont="1">
      <alignment horizontal="right" vertical="bottom"/>
    </xf>
    <xf borderId="0" fillId="16" fontId="15" numFmtId="0" xfId="0" applyAlignment="1" applyFill="1" applyFont="1">
      <alignment vertical="bottom"/>
    </xf>
    <xf borderId="0" fillId="16" fontId="15" numFmtId="0" xfId="0" applyAlignment="1" applyFont="1">
      <alignment horizontal="right" vertical="bottom"/>
    </xf>
    <xf borderId="0" fillId="16" fontId="2" numFmtId="0" xfId="0" applyAlignment="1" applyFont="1">
      <alignment vertical="bottom"/>
    </xf>
    <xf borderId="0" fillId="16" fontId="2" numFmtId="0" xfId="0" applyAlignment="1" applyFont="1">
      <alignment horizontal="right" vertical="bottom"/>
    </xf>
    <xf borderId="0" fillId="15" fontId="2" numFmtId="0" xfId="0" applyAlignment="1" applyFont="1">
      <alignment horizontal="right" vertical="bottom"/>
    </xf>
    <xf borderId="0" fillId="0" fontId="18" numFmtId="0" xfId="0" applyAlignment="1" applyFont="1">
      <alignment horizontal="right" vertical="bottom"/>
    </xf>
    <xf borderId="1" fillId="0" fontId="2" numFmtId="0" xfId="0" applyAlignment="1" applyBorder="1" applyFont="1">
      <alignment shrinkToFit="0" vertical="bottom" wrapText="0"/>
    </xf>
    <xf borderId="0" fillId="13" fontId="15" numFmtId="0" xfId="0" applyAlignment="1" applyFont="1">
      <alignment horizontal="right" vertical="bottom"/>
    </xf>
    <xf borderId="0" fillId="3" fontId="19" numFmtId="0" xfId="0" applyAlignment="1" applyFont="1">
      <alignment horizontal="right" vertical="bottom"/>
    </xf>
    <xf borderId="0" fillId="10" fontId="2" numFmtId="0" xfId="0" applyAlignment="1" applyFont="1">
      <alignment horizontal="right" vertical="bottom"/>
    </xf>
    <xf borderId="0" fillId="17" fontId="2" numFmtId="0" xfId="0" applyAlignment="1" applyFill="1" applyFont="1">
      <alignment horizontal="right" vertical="bottom"/>
    </xf>
    <xf borderId="1" fillId="0" fontId="3" numFmtId="0" xfId="0" applyAlignment="1" applyBorder="1" applyFont="1">
      <alignment shrinkToFit="0" vertical="bottom" wrapText="0"/>
    </xf>
    <xf borderId="0" fillId="0" fontId="2" numFmtId="3" xfId="0" applyAlignment="1" applyFont="1" applyNumberFormat="1">
      <alignment horizontal="right" vertical="bottom"/>
    </xf>
    <xf borderId="0" fillId="0" fontId="14" numFmtId="0" xfId="0" applyAlignment="1" applyFont="1">
      <alignment vertical="bottom"/>
    </xf>
    <xf borderId="0" fillId="0" fontId="2" numFmtId="11" xfId="0" applyAlignment="1" applyFont="1" applyNumberFormat="1">
      <alignment horizontal="right" vertical="bottom"/>
    </xf>
    <xf borderId="0" fillId="10" fontId="2" numFmtId="11" xfId="0" applyAlignment="1" applyFont="1" applyNumberFormat="1">
      <alignment horizontal="right" vertical="bottom"/>
    </xf>
    <xf borderId="0" fillId="18" fontId="20" numFmtId="0" xfId="0" applyAlignment="1" applyFill="1" applyFont="1">
      <alignment horizontal="center" vertical="bottom"/>
    </xf>
    <xf borderId="0" fillId="0" fontId="21" numFmtId="0" xfId="0" applyAlignment="1" applyFont="1">
      <alignment vertical="bottom"/>
    </xf>
    <xf borderId="0" fillId="19" fontId="2" numFmtId="0" xfId="0" applyAlignment="1" applyFill="1" applyFont="1">
      <alignment vertical="bottom"/>
    </xf>
    <xf borderId="0" fillId="20" fontId="2" numFmtId="0" xfId="0" applyAlignment="1" applyFill="1" applyFont="1">
      <alignment vertical="bottom"/>
    </xf>
    <xf borderId="1" fillId="0" fontId="2" numFmtId="11" xfId="0" applyAlignment="1" applyBorder="1" applyFont="1" applyNumberFormat="1">
      <alignment horizontal="right" vertical="bottom"/>
    </xf>
    <xf borderId="1" fillId="20" fontId="2" numFmtId="0" xfId="0" applyAlignment="1" applyBorder="1" applyFont="1">
      <alignment vertical="bottom"/>
    </xf>
    <xf borderId="2" fillId="0" fontId="2" numFmtId="11" xfId="0" applyAlignment="1" applyBorder="1" applyFont="1" applyNumberFormat="1">
      <alignment horizontal="center" vertical="bottom"/>
    </xf>
    <xf borderId="3" fillId="0" fontId="1" numFmtId="0" xfId="0" applyBorder="1" applyFont="1"/>
    <xf borderId="0" fillId="16" fontId="2" numFmtId="168" xfId="0" applyAlignment="1" applyFont="1" applyNumberFormat="1">
      <alignment horizontal="right" vertical="bottom"/>
    </xf>
    <xf borderId="1" fillId="10" fontId="14" numFmtId="0" xfId="0" applyAlignment="1" applyBorder="1" applyFont="1">
      <alignment vertical="bottom"/>
    </xf>
    <xf borderId="0" fillId="0" fontId="2" numFmtId="11" xfId="0" applyAlignment="1" applyFont="1" applyNumberFormat="1">
      <alignment vertical="bottom"/>
    </xf>
    <xf borderId="0" fillId="0" fontId="2" numFmtId="0" xfId="0" applyAlignment="1" applyFont="1">
      <alignment shrinkToFit="0" vertical="top" wrapText="1"/>
    </xf>
    <xf borderId="0" fillId="3" fontId="22" numFmtId="0" xfId="0" applyAlignment="1" applyFont="1">
      <alignment shrinkToFit="0" wrapText="1"/>
    </xf>
    <xf borderId="0" fillId="16" fontId="2" numFmtId="11" xfId="0" applyAlignment="1" applyFont="1" applyNumberFormat="1">
      <alignment horizontal="right" vertical="bottom"/>
    </xf>
    <xf borderId="0" fillId="0" fontId="2" numFmtId="0" xfId="0" applyAlignment="1" applyFont="1">
      <alignment shrinkToFit="0" vertical="bottom" wrapText="1"/>
    </xf>
    <xf borderId="0" fillId="0" fontId="2" numFmtId="169" xfId="0" applyAlignment="1" applyFont="1" applyNumberFormat="1">
      <alignment vertical="bottom"/>
    </xf>
    <xf borderId="0" fillId="0" fontId="2" numFmtId="170" xfId="0" applyAlignment="1" applyFont="1" applyNumberFormat="1">
      <alignment horizontal="right" vertical="bottom"/>
    </xf>
    <xf borderId="0" fillId="10" fontId="2" numFmtId="0" xfId="0" applyAlignment="1" applyFont="1">
      <alignment shrinkToFit="0" vertical="bottom" wrapText="1"/>
    </xf>
    <xf borderId="0" fillId="10" fontId="2" numFmtId="170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intra.blood.org.tw/upload/fe3b331a-09ab-4c06-a208-4af99b1d6775.pdf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://intra.blood.org.tw/upload/800b2f28-957c-4e9a-ac28-2fe3197d56aa.pdf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intra.blood.org.tw/upload/3f9ab620-cd06-472b-b500-7d637ae77e18.pdf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://intra.blood.org.tw/upload/5df216ff-95db-4062-ab16-6b5c81fc4c52.pdf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://intra.blood.org.tw/upload/067a6f62-6c21-4049-b661-f406f68628bd.pdf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9.57"/>
    <col customWidth="1" min="2" max="2" width="146.86"/>
    <col customWidth="1" min="5" max="5" width="56.43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6">
      <c r="A6" s="2" t="s">
        <v>3</v>
      </c>
    </row>
    <row r="7">
      <c r="D7" s="2" t="s">
        <v>4</v>
      </c>
    </row>
    <row r="8">
      <c r="D8" s="3" t="s">
        <v>5</v>
      </c>
      <c r="E8" s="4"/>
    </row>
    <row r="9">
      <c r="A9" s="3" t="s">
        <v>6</v>
      </c>
    </row>
    <row r="10">
      <c r="A10" s="5" t="s">
        <v>7</v>
      </c>
    </row>
    <row r="11">
      <c r="A11" s="2" t="s">
        <v>8</v>
      </c>
    </row>
    <row r="12">
      <c r="A12" s="2" t="s">
        <v>9</v>
      </c>
    </row>
    <row r="13">
      <c r="A13" s="2" t="s">
        <v>10</v>
      </c>
    </row>
    <row r="14">
      <c r="A14" s="2" t="s">
        <v>11</v>
      </c>
    </row>
    <row r="15">
      <c r="A15" s="5" t="s">
        <v>12</v>
      </c>
    </row>
    <row r="16">
      <c r="A16" s="2" t="s">
        <v>13</v>
      </c>
    </row>
    <row r="17">
      <c r="A17" s="5" t="s">
        <v>14</v>
      </c>
    </row>
    <row r="18">
      <c r="A18" s="2" t="s">
        <v>15</v>
      </c>
    </row>
    <row r="19">
      <c r="A19" s="2" t="s">
        <v>16</v>
      </c>
    </row>
    <row r="20">
      <c r="A20" s="2" t="s">
        <v>17</v>
      </c>
    </row>
    <row r="21">
      <c r="A21" s="2" t="s">
        <v>18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4.0"/>
    <col customWidth="1" min="6" max="6" width="19.71"/>
    <col customWidth="1" min="7" max="7" width="22.14"/>
    <col customWidth="1" min="9" max="9" width="6.57"/>
    <col customWidth="1" min="10" max="11" width="17.43"/>
    <col customWidth="1" min="12" max="12" width="19.29"/>
    <col customWidth="1" min="13" max="13" width="18.71"/>
    <col customWidth="1" min="14" max="15" width="30.0"/>
    <col customWidth="1" min="16" max="16" width="31.29"/>
    <col customWidth="1" min="17" max="17" width="30.0"/>
    <col customWidth="1" min="19" max="20" width="31.14"/>
    <col customWidth="1" min="21" max="21" width="32.43"/>
    <col customWidth="1" min="22" max="22" width="31.29"/>
    <col customWidth="1" min="23" max="24" width="50.0"/>
    <col customWidth="1" min="25" max="25" width="51.43"/>
    <col customWidth="1" min="26" max="26" width="42.14"/>
  </cols>
  <sheetData>
    <row r="1">
      <c r="A1" s="13" t="s">
        <v>41</v>
      </c>
      <c r="B1" s="13" t="s">
        <v>42</v>
      </c>
      <c r="C1" s="13" t="s">
        <v>43</v>
      </c>
      <c r="D1" s="13" t="s">
        <v>44</v>
      </c>
      <c r="E1" s="32" t="s">
        <v>45</v>
      </c>
      <c r="F1" s="32" t="s">
        <v>46</v>
      </c>
      <c r="G1" s="33" t="s">
        <v>47</v>
      </c>
      <c r="H1" s="32"/>
      <c r="I1" s="32" t="s">
        <v>48</v>
      </c>
      <c r="J1" s="32" t="s">
        <v>49</v>
      </c>
      <c r="K1" s="13" t="s">
        <v>49</v>
      </c>
      <c r="L1" s="32" t="s">
        <v>50</v>
      </c>
      <c r="M1" s="13" t="s">
        <v>79</v>
      </c>
      <c r="N1" s="37" t="s">
        <v>52</v>
      </c>
      <c r="O1" s="37" t="s">
        <v>53</v>
      </c>
      <c r="P1" s="38" t="s">
        <v>54</v>
      </c>
      <c r="Q1" s="38" t="s">
        <v>55</v>
      </c>
      <c r="R1" s="39"/>
      <c r="S1" s="37" t="s">
        <v>56</v>
      </c>
      <c r="T1" s="37" t="s">
        <v>57</v>
      </c>
      <c r="U1" s="38" t="s">
        <v>58</v>
      </c>
      <c r="V1" s="38" t="s">
        <v>59</v>
      </c>
      <c r="W1" s="37" t="s">
        <v>60</v>
      </c>
      <c r="X1" s="37" t="s">
        <v>61</v>
      </c>
      <c r="Y1" s="38" t="s">
        <v>62</v>
      </c>
      <c r="Z1" s="38" t="s">
        <v>63</v>
      </c>
    </row>
    <row r="2">
      <c r="A2" s="13" t="s">
        <v>64</v>
      </c>
      <c r="B2" s="19">
        <v>41275.0</v>
      </c>
      <c r="C2" s="20">
        <v>1.0</v>
      </c>
      <c r="D2" s="21">
        <v>1.0</v>
      </c>
      <c r="E2" s="34">
        <f>A3/31</f>
        <v>7719.258065</v>
      </c>
      <c r="F2" s="34">
        <v>0.45161290322580644</v>
      </c>
      <c r="G2" s="35">
        <f t="shared" ref="G2:G16" si="1">G367</f>
        <v>7269.990635</v>
      </c>
      <c r="H2" s="32"/>
      <c r="I2" s="34">
        <f t="shared" ref="I2:I365" si="2">C2</f>
        <v>1</v>
      </c>
      <c r="J2" s="35">
        <f>SUM(G2:G8)</f>
        <v>51563.83559</v>
      </c>
      <c r="K2" s="20">
        <v>51563.83559</v>
      </c>
      <c r="L2" s="34">
        <f>(RealMonthlyData_2013!E1/366)*7</f>
        <v>42261.04645</v>
      </c>
      <c r="M2" s="20">
        <v>42261.04645</v>
      </c>
      <c r="N2" s="40">
        <v>13177.07347</v>
      </c>
      <c r="O2" s="40">
        <v>12407.14224</v>
      </c>
      <c r="P2" s="40">
        <v>3278.4816</v>
      </c>
      <c r="Q2" s="40">
        <v>23410.07016</v>
      </c>
      <c r="R2" s="39"/>
      <c r="S2" s="40">
        <v>11689.13805</v>
      </c>
      <c r="T2" s="40">
        <v>9894.275564</v>
      </c>
      <c r="U2" s="40">
        <v>2679.165307</v>
      </c>
      <c r="V2" s="40">
        <v>18990.58048</v>
      </c>
      <c r="W2" s="40">
        <v>1487.935419</v>
      </c>
      <c r="X2" s="40">
        <v>2512.866672</v>
      </c>
      <c r="Y2" s="40">
        <v>599.3162936</v>
      </c>
      <c r="Z2" s="40">
        <v>4419.489674</v>
      </c>
    </row>
    <row r="3">
      <c r="A3" s="20">
        <v>239297.0</v>
      </c>
      <c r="B3" s="19">
        <v>41276.0</v>
      </c>
      <c r="C3" s="20">
        <v>1.0</v>
      </c>
      <c r="D3" s="26">
        <v>2.0</v>
      </c>
      <c r="E3" s="34">
        <f t="shared" ref="E3:E32" si="3">E2</f>
        <v>7719.258065</v>
      </c>
      <c r="F3" s="34">
        <v>0.41935483870967744</v>
      </c>
      <c r="G3" s="35">
        <f t="shared" si="1"/>
        <v>7302.081165</v>
      </c>
      <c r="H3" s="32"/>
      <c r="I3" s="34">
        <f t="shared" si="2"/>
        <v>1</v>
      </c>
      <c r="J3" s="32"/>
      <c r="K3" s="28"/>
      <c r="L3" s="34">
        <f t="shared" ref="L3:L365" si="4">L2</f>
        <v>42261.04645</v>
      </c>
      <c r="M3" s="28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>
      <c r="A4" s="28"/>
      <c r="B4" s="19">
        <v>41277.0</v>
      </c>
      <c r="C4" s="20">
        <v>1.0</v>
      </c>
      <c r="D4" s="26">
        <v>3.0</v>
      </c>
      <c r="E4" s="34">
        <f t="shared" si="3"/>
        <v>7719.258065</v>
      </c>
      <c r="F4" s="34">
        <v>0.3870967741935484</v>
      </c>
      <c r="G4" s="35">
        <f t="shared" si="1"/>
        <v>7334.171696</v>
      </c>
      <c r="H4" s="32"/>
      <c r="I4" s="34">
        <f t="shared" si="2"/>
        <v>1</v>
      </c>
      <c r="J4" s="32"/>
      <c r="K4" s="28"/>
      <c r="L4" s="34">
        <f t="shared" si="4"/>
        <v>42261.04645</v>
      </c>
      <c r="M4" s="28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>
      <c r="A5" s="28"/>
      <c r="B5" s="19">
        <v>41278.0</v>
      </c>
      <c r="C5" s="20">
        <v>1.0</v>
      </c>
      <c r="D5" s="26">
        <v>4.0</v>
      </c>
      <c r="E5" s="34">
        <f t="shared" si="3"/>
        <v>7719.258065</v>
      </c>
      <c r="F5" s="34">
        <v>0.3548387096774194</v>
      </c>
      <c r="G5" s="35">
        <f t="shared" si="1"/>
        <v>7366.262227</v>
      </c>
      <c r="H5" s="32"/>
      <c r="I5" s="34">
        <f t="shared" si="2"/>
        <v>1</v>
      </c>
      <c r="J5" s="32"/>
      <c r="K5" s="28"/>
      <c r="L5" s="34">
        <f t="shared" si="4"/>
        <v>42261.04645</v>
      </c>
      <c r="M5" s="28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>
      <c r="A6" s="28"/>
      <c r="B6" s="19">
        <v>41279.0</v>
      </c>
      <c r="C6" s="20">
        <v>1.0</v>
      </c>
      <c r="D6" s="26">
        <v>5.0</v>
      </c>
      <c r="E6" s="34">
        <f t="shared" si="3"/>
        <v>7719.258065</v>
      </c>
      <c r="F6" s="34">
        <v>0.3225806451612903</v>
      </c>
      <c r="G6" s="35">
        <f t="shared" si="1"/>
        <v>7398.352758</v>
      </c>
      <c r="H6" s="32"/>
      <c r="I6" s="34">
        <f t="shared" si="2"/>
        <v>1</v>
      </c>
      <c r="J6" s="32"/>
      <c r="K6" s="28"/>
      <c r="L6" s="34">
        <f t="shared" si="4"/>
        <v>42261.04645</v>
      </c>
      <c r="M6" s="28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>
      <c r="A7" s="28"/>
      <c r="B7" s="19">
        <v>41280.0</v>
      </c>
      <c r="C7" s="20">
        <v>1.0</v>
      </c>
      <c r="D7" s="26">
        <v>6.0</v>
      </c>
      <c r="E7" s="34">
        <f t="shared" si="3"/>
        <v>7719.258065</v>
      </c>
      <c r="F7" s="34">
        <v>0.2903225806451613</v>
      </c>
      <c r="G7" s="35">
        <f t="shared" si="1"/>
        <v>7430.443288</v>
      </c>
      <c r="H7" s="32"/>
      <c r="I7" s="34">
        <f t="shared" si="2"/>
        <v>1</v>
      </c>
      <c r="J7" s="32"/>
      <c r="K7" s="28"/>
      <c r="L7" s="34">
        <f t="shared" si="4"/>
        <v>42261.04645</v>
      </c>
      <c r="M7" s="28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>
      <c r="A8" s="28"/>
      <c r="B8" s="19">
        <v>41281.0</v>
      </c>
      <c r="C8" s="20">
        <v>1.0</v>
      </c>
      <c r="D8" s="26">
        <v>7.0</v>
      </c>
      <c r="E8" s="34">
        <f t="shared" si="3"/>
        <v>7719.258065</v>
      </c>
      <c r="F8" s="34">
        <v>0.25806451612903225</v>
      </c>
      <c r="G8" s="35">
        <f t="shared" si="1"/>
        <v>7462.533819</v>
      </c>
      <c r="H8" s="32"/>
      <c r="I8" s="34">
        <f t="shared" si="2"/>
        <v>1</v>
      </c>
      <c r="J8" s="32"/>
      <c r="K8" s="28"/>
      <c r="L8" s="34">
        <f t="shared" si="4"/>
        <v>42261.04645</v>
      </c>
      <c r="M8" s="28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>
      <c r="A9" s="28"/>
      <c r="B9" s="19">
        <v>41282.0</v>
      </c>
      <c r="C9" s="20">
        <v>2.0</v>
      </c>
      <c r="D9" s="26">
        <v>8.0</v>
      </c>
      <c r="E9" s="34">
        <f t="shared" si="3"/>
        <v>7719.258065</v>
      </c>
      <c r="F9" s="34">
        <v>0.22580645161290322</v>
      </c>
      <c r="G9" s="35">
        <f t="shared" si="1"/>
        <v>7494.62435</v>
      </c>
      <c r="H9" s="32"/>
      <c r="I9" s="34">
        <f t="shared" si="2"/>
        <v>2</v>
      </c>
      <c r="J9" s="35">
        <f>SUM(G9:G15)</f>
        <v>53136.27159</v>
      </c>
      <c r="K9" s="20">
        <v>53136.27159</v>
      </c>
      <c r="L9" s="34">
        <f t="shared" si="4"/>
        <v>42261.04645</v>
      </c>
      <c r="M9" s="20">
        <v>42261.04645</v>
      </c>
      <c r="N9" s="40">
        <v>14207.22782</v>
      </c>
      <c r="O9" s="40">
        <v>12032.7515</v>
      </c>
      <c r="P9" s="40">
        <v>3173.918235</v>
      </c>
      <c r="Q9" s="40">
        <v>22969.90228</v>
      </c>
      <c r="R9" s="39"/>
      <c r="S9" s="40">
        <v>11414.37211</v>
      </c>
      <c r="T9" s="40">
        <v>10046.57447</v>
      </c>
      <c r="U9" s="40">
        <v>2564.155161</v>
      </c>
      <c r="V9" s="40">
        <v>17529.2001</v>
      </c>
      <c r="W9" s="40">
        <v>2792.855708</v>
      </c>
      <c r="X9" s="40">
        <v>1986.177025</v>
      </c>
      <c r="Y9" s="40">
        <v>609.763074</v>
      </c>
      <c r="Z9" s="40">
        <v>5440.70218</v>
      </c>
    </row>
    <row r="10">
      <c r="A10" s="28"/>
      <c r="B10" s="19">
        <v>41283.0</v>
      </c>
      <c r="C10" s="20">
        <v>2.0</v>
      </c>
      <c r="D10" s="26">
        <v>9.0</v>
      </c>
      <c r="E10" s="34">
        <f t="shared" si="3"/>
        <v>7719.258065</v>
      </c>
      <c r="F10" s="34">
        <v>0.1935483870967742</v>
      </c>
      <c r="G10" s="35">
        <f t="shared" si="1"/>
        <v>7526.71488</v>
      </c>
      <c r="H10" s="32"/>
      <c r="I10" s="34">
        <f t="shared" si="2"/>
        <v>2</v>
      </c>
      <c r="J10" s="32"/>
      <c r="K10" s="28"/>
      <c r="L10" s="34">
        <f t="shared" si="4"/>
        <v>42261.04645</v>
      </c>
      <c r="M10" s="28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>
      <c r="A11" s="28"/>
      <c r="B11" s="19">
        <v>41284.0</v>
      </c>
      <c r="C11" s="20">
        <v>2.0</v>
      </c>
      <c r="D11" s="26">
        <v>10.0</v>
      </c>
      <c r="E11" s="34">
        <f t="shared" si="3"/>
        <v>7719.258065</v>
      </c>
      <c r="F11" s="34">
        <v>0.16129032258064516</v>
      </c>
      <c r="G11" s="35">
        <f t="shared" si="1"/>
        <v>7558.805411</v>
      </c>
      <c r="H11" s="32"/>
      <c r="I11" s="34">
        <f t="shared" si="2"/>
        <v>2</v>
      </c>
      <c r="J11" s="32"/>
      <c r="K11" s="28"/>
      <c r="L11" s="34">
        <f t="shared" si="4"/>
        <v>42261.04645</v>
      </c>
      <c r="M11" s="28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>
      <c r="A12" s="28"/>
      <c r="B12" s="19">
        <v>41285.0</v>
      </c>
      <c r="C12" s="20">
        <v>2.0</v>
      </c>
      <c r="D12" s="26">
        <v>11.0</v>
      </c>
      <c r="E12" s="34">
        <f t="shared" si="3"/>
        <v>7719.258065</v>
      </c>
      <c r="F12" s="34">
        <v>0.12903225806451613</v>
      </c>
      <c r="G12" s="35">
        <f t="shared" si="1"/>
        <v>7590.895942</v>
      </c>
      <c r="H12" s="32"/>
      <c r="I12" s="34">
        <f t="shared" si="2"/>
        <v>2</v>
      </c>
      <c r="J12" s="32"/>
      <c r="K12" s="28"/>
      <c r="L12" s="34">
        <f t="shared" si="4"/>
        <v>42261.04645</v>
      </c>
      <c r="M12" s="28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>
      <c r="A13" s="28"/>
      <c r="B13" s="19">
        <v>41286.0</v>
      </c>
      <c r="C13" s="20">
        <v>2.0</v>
      </c>
      <c r="D13" s="26">
        <v>12.0</v>
      </c>
      <c r="E13" s="34">
        <f t="shared" si="3"/>
        <v>7719.258065</v>
      </c>
      <c r="F13" s="34">
        <v>0.0967741935483871</v>
      </c>
      <c r="G13" s="35">
        <f t="shared" si="1"/>
        <v>7622.986472</v>
      </c>
      <c r="H13" s="32"/>
      <c r="I13" s="34">
        <f t="shared" si="2"/>
        <v>2</v>
      </c>
      <c r="J13" s="32"/>
      <c r="K13" s="28"/>
      <c r="L13" s="34">
        <f t="shared" si="4"/>
        <v>42261.04645</v>
      </c>
      <c r="M13" s="28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>
      <c r="A14" s="28"/>
      <c r="B14" s="19">
        <v>41287.0</v>
      </c>
      <c r="C14" s="20">
        <v>2.0</v>
      </c>
      <c r="D14" s="26">
        <v>13.0</v>
      </c>
      <c r="E14" s="34">
        <f t="shared" si="3"/>
        <v>7719.258065</v>
      </c>
      <c r="F14" s="34">
        <v>0.06451612903225806</v>
      </c>
      <c r="G14" s="35">
        <f t="shared" si="1"/>
        <v>7655.077003</v>
      </c>
      <c r="H14" s="32"/>
      <c r="I14" s="34">
        <f t="shared" si="2"/>
        <v>2</v>
      </c>
      <c r="J14" s="32"/>
      <c r="K14" s="28"/>
      <c r="L14" s="34">
        <f t="shared" si="4"/>
        <v>42261.04645</v>
      </c>
      <c r="M14" s="28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>
      <c r="A15" s="28"/>
      <c r="B15" s="19">
        <v>41288.0</v>
      </c>
      <c r="C15" s="20">
        <v>2.0</v>
      </c>
      <c r="D15" s="26">
        <v>14.0</v>
      </c>
      <c r="E15" s="34">
        <f t="shared" si="3"/>
        <v>7719.258065</v>
      </c>
      <c r="F15" s="34">
        <v>0.03225806451612903</v>
      </c>
      <c r="G15" s="35">
        <f t="shared" si="1"/>
        <v>7687.167534</v>
      </c>
      <c r="H15" s="32"/>
      <c r="I15" s="34">
        <f t="shared" si="2"/>
        <v>2</v>
      </c>
      <c r="J15" s="32"/>
      <c r="K15" s="28"/>
      <c r="L15" s="34">
        <f t="shared" si="4"/>
        <v>42261.04645</v>
      </c>
      <c r="M15" s="28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>
      <c r="A16" s="13"/>
      <c r="B16" s="19">
        <v>41289.0</v>
      </c>
      <c r="C16" s="20">
        <v>3.0</v>
      </c>
      <c r="D16" s="26">
        <v>15.0</v>
      </c>
      <c r="E16" s="34">
        <f t="shared" si="3"/>
        <v>7719.258065</v>
      </c>
      <c r="F16" s="34">
        <v>1.0</v>
      </c>
      <c r="G16" s="35">
        <f t="shared" si="1"/>
        <v>7719.258065</v>
      </c>
      <c r="H16" s="32"/>
      <c r="I16" s="34">
        <f t="shared" si="2"/>
        <v>3</v>
      </c>
      <c r="J16" s="35">
        <f>SUM(G16:G22)</f>
        <v>53223.88163</v>
      </c>
      <c r="K16" s="20">
        <v>53223.88163</v>
      </c>
      <c r="L16" s="34">
        <f t="shared" si="4"/>
        <v>42261.04645</v>
      </c>
      <c r="M16" s="20">
        <v>42261.04645</v>
      </c>
      <c r="N16" s="40">
        <v>13899.11732</v>
      </c>
      <c r="O16" s="40">
        <v>12774.06689</v>
      </c>
      <c r="P16" s="40">
        <v>3171.602122</v>
      </c>
      <c r="Q16" s="40">
        <v>22227.64636</v>
      </c>
      <c r="R16" s="39"/>
      <c r="S16" s="40">
        <v>11559.38327</v>
      </c>
      <c r="T16" s="40">
        <v>10004.47343</v>
      </c>
      <c r="U16" s="40">
        <v>2497.934583</v>
      </c>
      <c r="V16" s="40">
        <v>19049.95699</v>
      </c>
      <c r="W16" s="40">
        <v>2339.734048</v>
      </c>
      <c r="X16" s="40">
        <v>2769.593455</v>
      </c>
      <c r="Y16" s="40">
        <v>673.6675386</v>
      </c>
      <c r="Z16" s="40">
        <v>3177.689378</v>
      </c>
    </row>
    <row r="17">
      <c r="A17" s="13"/>
      <c r="B17" s="19">
        <v>41290.0</v>
      </c>
      <c r="C17" s="20">
        <v>3.0</v>
      </c>
      <c r="D17" s="26">
        <v>16.0</v>
      </c>
      <c r="E17" s="34">
        <f t="shared" si="3"/>
        <v>7719.258065</v>
      </c>
      <c r="F17" s="34">
        <f t="shared" ref="F17:F46" si="5">abs((D17-46)/(46-15))</f>
        <v>0.9677419355</v>
      </c>
      <c r="G17" s="35">
        <f t="shared" ref="G17:G44" si="6">E2*F17+(1-F17)*E33</f>
        <v>7680.642597</v>
      </c>
      <c r="H17" s="32"/>
      <c r="I17" s="34">
        <f t="shared" si="2"/>
        <v>3</v>
      </c>
      <c r="J17" s="32"/>
      <c r="K17" s="28"/>
      <c r="L17" s="34">
        <f t="shared" si="4"/>
        <v>42261.04645</v>
      </c>
      <c r="M17" s="28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>
      <c r="A18" s="28"/>
      <c r="B18" s="19">
        <v>41291.0</v>
      </c>
      <c r="C18" s="20">
        <v>3.0</v>
      </c>
      <c r="D18" s="26">
        <v>17.0</v>
      </c>
      <c r="E18" s="34">
        <f t="shared" si="3"/>
        <v>7719.258065</v>
      </c>
      <c r="F18" s="34">
        <f t="shared" si="5"/>
        <v>0.935483871</v>
      </c>
      <c r="G18" s="35">
        <f t="shared" si="6"/>
        <v>7642.027129</v>
      </c>
      <c r="H18" s="32"/>
      <c r="I18" s="34">
        <f t="shared" si="2"/>
        <v>3</v>
      </c>
      <c r="J18" s="32"/>
      <c r="K18" s="28"/>
      <c r="L18" s="34">
        <f t="shared" si="4"/>
        <v>42261.04645</v>
      </c>
      <c r="M18" s="28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>
      <c r="A19" s="28"/>
      <c r="B19" s="19">
        <v>41292.0</v>
      </c>
      <c r="C19" s="20">
        <v>3.0</v>
      </c>
      <c r="D19" s="26">
        <v>18.0</v>
      </c>
      <c r="E19" s="34">
        <f t="shared" si="3"/>
        <v>7719.258065</v>
      </c>
      <c r="F19" s="34">
        <f t="shared" si="5"/>
        <v>0.9032258065</v>
      </c>
      <c r="G19" s="35">
        <f t="shared" si="6"/>
        <v>7603.411662</v>
      </c>
      <c r="H19" s="32"/>
      <c r="I19" s="34">
        <f t="shared" si="2"/>
        <v>3</v>
      </c>
      <c r="J19" s="32"/>
      <c r="K19" s="28"/>
      <c r="L19" s="34">
        <f t="shared" si="4"/>
        <v>42261.04645</v>
      </c>
      <c r="M19" s="28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>
      <c r="A20" s="28"/>
      <c r="B20" s="19">
        <v>41293.0</v>
      </c>
      <c r="C20" s="20">
        <v>3.0</v>
      </c>
      <c r="D20" s="26">
        <v>19.0</v>
      </c>
      <c r="E20" s="34">
        <f t="shared" si="3"/>
        <v>7719.258065</v>
      </c>
      <c r="F20" s="34">
        <f t="shared" si="5"/>
        <v>0.8709677419</v>
      </c>
      <c r="G20" s="35">
        <f t="shared" si="6"/>
        <v>7564.796194</v>
      </c>
      <c r="H20" s="32"/>
      <c r="I20" s="34">
        <f t="shared" si="2"/>
        <v>3</v>
      </c>
      <c r="J20" s="32"/>
      <c r="K20" s="28"/>
      <c r="L20" s="34">
        <f t="shared" si="4"/>
        <v>42261.04645</v>
      </c>
      <c r="M20" s="28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>
      <c r="A21" s="28"/>
      <c r="B21" s="19">
        <v>41294.0</v>
      </c>
      <c r="C21" s="20">
        <v>3.0</v>
      </c>
      <c r="D21" s="26">
        <v>20.0</v>
      </c>
      <c r="E21" s="34">
        <f t="shared" si="3"/>
        <v>7719.258065</v>
      </c>
      <c r="F21" s="34">
        <f t="shared" si="5"/>
        <v>0.8387096774</v>
      </c>
      <c r="G21" s="35">
        <f t="shared" si="6"/>
        <v>7526.180727</v>
      </c>
      <c r="H21" s="32"/>
      <c r="I21" s="34">
        <f t="shared" si="2"/>
        <v>3</v>
      </c>
      <c r="J21" s="32"/>
      <c r="K21" s="28"/>
      <c r="L21" s="34">
        <f t="shared" si="4"/>
        <v>42261.04645</v>
      </c>
      <c r="M21" s="28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>
      <c r="A22" s="28"/>
      <c r="B22" s="19">
        <v>41295.0</v>
      </c>
      <c r="C22" s="20">
        <v>3.0</v>
      </c>
      <c r="D22" s="26">
        <v>21.0</v>
      </c>
      <c r="E22" s="34">
        <f t="shared" si="3"/>
        <v>7719.258065</v>
      </c>
      <c r="F22" s="34">
        <f t="shared" si="5"/>
        <v>0.8064516129</v>
      </c>
      <c r="G22" s="35">
        <f t="shared" si="6"/>
        <v>7487.565259</v>
      </c>
      <c r="H22" s="32"/>
      <c r="I22" s="34">
        <f t="shared" si="2"/>
        <v>3</v>
      </c>
      <c r="J22" s="32"/>
      <c r="K22" s="28"/>
      <c r="L22" s="34">
        <f t="shared" si="4"/>
        <v>42261.04645</v>
      </c>
      <c r="M22" s="28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>
      <c r="A23" s="28"/>
      <c r="B23" s="19">
        <v>41296.0</v>
      </c>
      <c r="C23" s="20">
        <v>4.0</v>
      </c>
      <c r="D23" s="26">
        <v>22.0</v>
      </c>
      <c r="E23" s="34">
        <f t="shared" si="3"/>
        <v>7719.258065</v>
      </c>
      <c r="F23" s="34">
        <f t="shared" si="5"/>
        <v>0.7741935484</v>
      </c>
      <c r="G23" s="35">
        <f t="shared" si="6"/>
        <v>7448.949792</v>
      </c>
      <c r="H23" s="32"/>
      <c r="I23" s="34">
        <f t="shared" si="2"/>
        <v>4</v>
      </c>
      <c r="J23" s="35">
        <f>SUM(G23:G29)</f>
        <v>51331.72373</v>
      </c>
      <c r="K23" s="20">
        <v>51331.72373</v>
      </c>
      <c r="L23" s="34">
        <f t="shared" si="4"/>
        <v>42261.04645</v>
      </c>
      <c r="M23" s="20">
        <v>42261.04645</v>
      </c>
      <c r="N23" s="40">
        <v>13223.54532</v>
      </c>
      <c r="O23" s="40">
        <v>12562.52865</v>
      </c>
      <c r="P23" s="40">
        <v>3188.29884</v>
      </c>
      <c r="Q23" s="40">
        <v>22628.36276</v>
      </c>
      <c r="R23" s="39"/>
      <c r="S23" s="40">
        <v>11022.2352</v>
      </c>
      <c r="T23" s="40">
        <v>10184.62561</v>
      </c>
      <c r="U23" s="40">
        <v>2680.290632</v>
      </c>
      <c r="V23" s="40">
        <v>18251.16767</v>
      </c>
      <c r="W23" s="40">
        <v>2201.310123</v>
      </c>
      <c r="X23" s="40">
        <v>2377.903046</v>
      </c>
      <c r="Y23" s="40">
        <v>508.0082081</v>
      </c>
      <c r="Z23" s="40">
        <v>4377.195084</v>
      </c>
    </row>
    <row r="24">
      <c r="A24" s="28"/>
      <c r="B24" s="19">
        <v>41297.0</v>
      </c>
      <c r="C24" s="20">
        <v>4.0</v>
      </c>
      <c r="D24" s="26">
        <v>23.0</v>
      </c>
      <c r="E24" s="34">
        <f t="shared" si="3"/>
        <v>7719.258065</v>
      </c>
      <c r="F24" s="34">
        <f t="shared" si="5"/>
        <v>0.7419354839</v>
      </c>
      <c r="G24" s="35">
        <f t="shared" si="6"/>
        <v>7410.334324</v>
      </c>
      <c r="H24" s="32"/>
      <c r="I24" s="34">
        <f t="shared" si="2"/>
        <v>4</v>
      </c>
      <c r="J24" s="32"/>
      <c r="K24" s="28"/>
      <c r="L24" s="34">
        <f t="shared" si="4"/>
        <v>42261.04645</v>
      </c>
      <c r="M24" s="28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>
      <c r="A25" s="28"/>
      <c r="B25" s="19">
        <v>41298.0</v>
      </c>
      <c r="C25" s="20">
        <v>4.0</v>
      </c>
      <c r="D25" s="26">
        <v>24.0</v>
      </c>
      <c r="E25" s="34">
        <f t="shared" si="3"/>
        <v>7719.258065</v>
      </c>
      <c r="F25" s="34">
        <f t="shared" si="5"/>
        <v>0.7096774194</v>
      </c>
      <c r="G25" s="35">
        <f t="shared" si="6"/>
        <v>7371.718857</v>
      </c>
      <c r="H25" s="32"/>
      <c r="I25" s="34">
        <f t="shared" si="2"/>
        <v>4</v>
      </c>
      <c r="J25" s="32"/>
      <c r="K25" s="28"/>
      <c r="L25" s="34">
        <f t="shared" si="4"/>
        <v>42261.04645</v>
      </c>
      <c r="M25" s="28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>
      <c r="A26" s="28"/>
      <c r="B26" s="19">
        <v>41299.0</v>
      </c>
      <c r="C26" s="20">
        <v>4.0</v>
      </c>
      <c r="D26" s="26">
        <v>25.0</v>
      </c>
      <c r="E26" s="34">
        <f t="shared" si="3"/>
        <v>7719.258065</v>
      </c>
      <c r="F26" s="34">
        <f t="shared" si="5"/>
        <v>0.6774193548</v>
      </c>
      <c r="G26" s="35">
        <f t="shared" si="6"/>
        <v>7333.103389</v>
      </c>
      <c r="H26" s="32"/>
      <c r="I26" s="34">
        <f t="shared" si="2"/>
        <v>4</v>
      </c>
      <c r="J26" s="32"/>
      <c r="K26" s="28"/>
      <c r="L26" s="34">
        <f t="shared" si="4"/>
        <v>42261.04645</v>
      </c>
      <c r="M26" s="28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>
      <c r="A27" s="28"/>
      <c r="B27" s="19">
        <v>41300.0</v>
      </c>
      <c r="C27" s="20">
        <v>4.0</v>
      </c>
      <c r="D27" s="26">
        <v>26.0</v>
      </c>
      <c r="E27" s="34">
        <f t="shared" si="3"/>
        <v>7719.258065</v>
      </c>
      <c r="F27" s="34">
        <f t="shared" si="5"/>
        <v>0.6451612903</v>
      </c>
      <c r="G27" s="35">
        <f t="shared" si="6"/>
        <v>7294.487922</v>
      </c>
      <c r="H27" s="32"/>
      <c r="I27" s="34">
        <f t="shared" si="2"/>
        <v>4</v>
      </c>
      <c r="J27" s="32"/>
      <c r="K27" s="28"/>
      <c r="L27" s="34">
        <f t="shared" si="4"/>
        <v>42261.04645</v>
      </c>
      <c r="M27" s="28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>
      <c r="A28" s="28"/>
      <c r="B28" s="19">
        <v>41301.0</v>
      </c>
      <c r="C28" s="20">
        <v>4.0</v>
      </c>
      <c r="D28" s="26">
        <v>27.0</v>
      </c>
      <c r="E28" s="34">
        <f t="shared" si="3"/>
        <v>7719.258065</v>
      </c>
      <c r="F28" s="34">
        <f t="shared" si="5"/>
        <v>0.6129032258</v>
      </c>
      <c r="G28" s="35">
        <f t="shared" si="6"/>
        <v>7255.872454</v>
      </c>
      <c r="H28" s="32"/>
      <c r="I28" s="34">
        <f t="shared" si="2"/>
        <v>4</v>
      </c>
      <c r="J28" s="32"/>
      <c r="K28" s="28"/>
      <c r="L28" s="34">
        <f t="shared" si="4"/>
        <v>42261.04645</v>
      </c>
      <c r="M28" s="28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>
      <c r="A29" s="28"/>
      <c r="B29" s="19">
        <v>41302.0</v>
      </c>
      <c r="C29" s="20">
        <v>4.0</v>
      </c>
      <c r="D29" s="26">
        <v>28.0</v>
      </c>
      <c r="E29" s="34">
        <f t="shared" si="3"/>
        <v>7719.258065</v>
      </c>
      <c r="F29" s="34">
        <f t="shared" si="5"/>
        <v>0.5806451613</v>
      </c>
      <c r="G29" s="35">
        <f t="shared" si="6"/>
        <v>7217.256987</v>
      </c>
      <c r="H29" s="32"/>
      <c r="I29" s="34">
        <f t="shared" si="2"/>
        <v>4</v>
      </c>
      <c r="J29" s="32"/>
      <c r="K29" s="28"/>
      <c r="L29" s="34">
        <f t="shared" si="4"/>
        <v>42261.04645</v>
      </c>
      <c r="M29" s="28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>
      <c r="A30" s="28"/>
      <c r="B30" s="19">
        <v>41303.0</v>
      </c>
      <c r="C30" s="20">
        <v>5.0</v>
      </c>
      <c r="D30" s="26">
        <v>29.0</v>
      </c>
      <c r="E30" s="34">
        <f t="shared" si="3"/>
        <v>7719.258065</v>
      </c>
      <c r="F30" s="34">
        <f t="shared" si="5"/>
        <v>0.5483870968</v>
      </c>
      <c r="G30" s="35">
        <f t="shared" si="6"/>
        <v>7178.641519</v>
      </c>
      <c r="H30" s="32"/>
      <c r="I30" s="34">
        <f t="shared" si="2"/>
        <v>5</v>
      </c>
      <c r="J30" s="35">
        <f>SUM(G30:G36)</f>
        <v>49439.56582</v>
      </c>
      <c r="K30" s="20">
        <v>49439.56582</v>
      </c>
      <c r="L30" s="34">
        <f t="shared" si="4"/>
        <v>42261.04645</v>
      </c>
      <c r="M30" s="20">
        <v>42261.04645</v>
      </c>
      <c r="N30" s="40">
        <v>13140.38488</v>
      </c>
      <c r="O30" s="40">
        <v>11706.91832</v>
      </c>
      <c r="P30" s="40">
        <v>3021.290891</v>
      </c>
      <c r="Q30" s="40">
        <v>22530.16855</v>
      </c>
      <c r="R30" s="39"/>
      <c r="S30" s="40">
        <v>11086.8319</v>
      </c>
      <c r="T30" s="40">
        <v>9823.770216</v>
      </c>
      <c r="U30" s="40">
        <v>2577.283143</v>
      </c>
      <c r="V30" s="40">
        <v>18283.90018</v>
      </c>
      <c r="W30" s="40">
        <v>2053.552988</v>
      </c>
      <c r="X30" s="40">
        <v>1883.148105</v>
      </c>
      <c r="Y30" s="40">
        <v>444.0077482</v>
      </c>
      <c r="Z30" s="40">
        <v>4246.268371</v>
      </c>
    </row>
    <row r="31">
      <c r="A31" s="28"/>
      <c r="B31" s="19">
        <v>41304.0</v>
      </c>
      <c r="C31" s="20">
        <v>5.0</v>
      </c>
      <c r="D31" s="26">
        <v>30.0</v>
      </c>
      <c r="E31" s="34">
        <f t="shared" si="3"/>
        <v>7719.258065</v>
      </c>
      <c r="F31" s="34">
        <f t="shared" si="5"/>
        <v>0.5161290323</v>
      </c>
      <c r="G31" s="35">
        <f t="shared" si="6"/>
        <v>7140.026052</v>
      </c>
      <c r="H31" s="32"/>
      <c r="I31" s="34">
        <f t="shared" si="2"/>
        <v>5</v>
      </c>
      <c r="J31" s="32"/>
      <c r="K31" s="28"/>
      <c r="L31" s="34">
        <f t="shared" si="4"/>
        <v>42261.04645</v>
      </c>
      <c r="M31" s="28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>
      <c r="A32" s="28"/>
      <c r="B32" s="19">
        <v>41305.0</v>
      </c>
      <c r="C32" s="20">
        <v>5.0</v>
      </c>
      <c r="D32" s="26">
        <v>31.0</v>
      </c>
      <c r="E32" s="34">
        <f t="shared" si="3"/>
        <v>7719.258065</v>
      </c>
      <c r="F32" s="34">
        <f t="shared" si="5"/>
        <v>0.4838709677</v>
      </c>
      <c r="G32" s="35">
        <f t="shared" si="6"/>
        <v>7101.410584</v>
      </c>
      <c r="H32" s="32"/>
      <c r="I32" s="34">
        <f t="shared" si="2"/>
        <v>5</v>
      </c>
      <c r="J32" s="32"/>
      <c r="K32" s="28"/>
      <c r="L32" s="34">
        <f t="shared" si="4"/>
        <v>42261.04645</v>
      </c>
      <c r="M32" s="28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>
      <c r="A33" s="13" t="s">
        <v>65</v>
      </c>
      <c r="B33" s="19">
        <v>41306.0</v>
      </c>
      <c r="C33" s="20">
        <v>5.0</v>
      </c>
      <c r="D33" s="21">
        <v>32.0</v>
      </c>
      <c r="E33" s="34">
        <f>A34/28</f>
        <v>6522.178571</v>
      </c>
      <c r="F33" s="34">
        <f t="shared" si="5"/>
        <v>0.4516129032</v>
      </c>
      <c r="G33" s="35">
        <f t="shared" si="6"/>
        <v>7062.795117</v>
      </c>
      <c r="H33" s="32"/>
      <c r="I33" s="34">
        <f t="shared" si="2"/>
        <v>5</v>
      </c>
      <c r="J33" s="32"/>
      <c r="K33" s="28"/>
      <c r="L33" s="34">
        <f t="shared" si="4"/>
        <v>42261.04645</v>
      </c>
      <c r="M33" s="28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>
      <c r="A34" s="20">
        <v>182621.0</v>
      </c>
      <c r="B34" s="19">
        <v>41307.0</v>
      </c>
      <c r="C34" s="20">
        <v>5.0</v>
      </c>
      <c r="D34" s="26">
        <v>33.0</v>
      </c>
      <c r="E34" s="34">
        <f t="shared" ref="E34:E60" si="7">E33</f>
        <v>6522.178571</v>
      </c>
      <c r="F34" s="34">
        <f t="shared" si="5"/>
        <v>0.4193548387</v>
      </c>
      <c r="G34" s="35">
        <f t="shared" si="6"/>
        <v>7024.179649</v>
      </c>
      <c r="H34" s="32"/>
      <c r="I34" s="34">
        <f t="shared" si="2"/>
        <v>5</v>
      </c>
      <c r="J34" s="32"/>
      <c r="K34" s="28"/>
      <c r="L34" s="34">
        <f t="shared" si="4"/>
        <v>42261.04645</v>
      </c>
      <c r="M34" s="28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>
      <c r="A35" s="28"/>
      <c r="B35" s="19">
        <v>41308.0</v>
      </c>
      <c r="C35" s="20">
        <v>5.0</v>
      </c>
      <c r="D35" s="26">
        <v>34.0</v>
      </c>
      <c r="E35" s="34">
        <f t="shared" si="7"/>
        <v>6522.178571</v>
      </c>
      <c r="F35" s="34">
        <f t="shared" si="5"/>
        <v>0.3870967742</v>
      </c>
      <c r="G35" s="35">
        <f t="shared" si="6"/>
        <v>6985.564182</v>
      </c>
      <c r="H35" s="32"/>
      <c r="I35" s="34">
        <f t="shared" si="2"/>
        <v>5</v>
      </c>
      <c r="J35" s="32"/>
      <c r="K35" s="28"/>
      <c r="L35" s="34">
        <f t="shared" si="4"/>
        <v>42261.04645</v>
      </c>
      <c r="M35" s="28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>
      <c r="A36" s="28"/>
      <c r="B36" s="19">
        <v>41309.0</v>
      </c>
      <c r="C36" s="20">
        <v>5.0</v>
      </c>
      <c r="D36" s="26">
        <v>35.0</v>
      </c>
      <c r="E36" s="34">
        <f t="shared" si="7"/>
        <v>6522.178571</v>
      </c>
      <c r="F36" s="34">
        <f t="shared" si="5"/>
        <v>0.3548387097</v>
      </c>
      <c r="G36" s="35">
        <f t="shared" si="6"/>
        <v>6946.948714</v>
      </c>
      <c r="H36" s="32"/>
      <c r="I36" s="34">
        <f t="shared" si="2"/>
        <v>5</v>
      </c>
      <c r="J36" s="32"/>
      <c r="K36" s="28"/>
      <c r="L36" s="34">
        <f t="shared" si="4"/>
        <v>42261.04645</v>
      </c>
      <c r="M36" s="28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>
      <c r="A37" s="28"/>
      <c r="B37" s="19">
        <v>41310.0</v>
      </c>
      <c r="C37" s="20">
        <v>6.0</v>
      </c>
      <c r="D37" s="26">
        <v>36.0</v>
      </c>
      <c r="E37" s="34">
        <f t="shared" si="7"/>
        <v>6522.178571</v>
      </c>
      <c r="F37" s="34">
        <f t="shared" si="5"/>
        <v>0.3225806452</v>
      </c>
      <c r="G37" s="35">
        <f t="shared" si="6"/>
        <v>6908.333247</v>
      </c>
      <c r="H37" s="32"/>
      <c r="I37" s="34">
        <f t="shared" si="2"/>
        <v>6</v>
      </c>
      <c r="J37" s="35">
        <f>SUM(G37:G43)</f>
        <v>47547.40791</v>
      </c>
      <c r="K37" s="20">
        <v>47547.40791</v>
      </c>
      <c r="L37" s="34">
        <f t="shared" si="4"/>
        <v>42261.04645</v>
      </c>
      <c r="M37" s="20">
        <v>42261.04645</v>
      </c>
      <c r="N37" s="40">
        <v>12277.69761</v>
      </c>
      <c r="O37" s="40">
        <v>10805.95031</v>
      </c>
      <c r="P37" s="40">
        <v>2919.43964</v>
      </c>
      <c r="Q37" s="40">
        <v>21225.16676</v>
      </c>
      <c r="R37" s="39"/>
      <c r="S37" s="40">
        <v>11740.55741</v>
      </c>
      <c r="T37" s="40">
        <v>9707.813403</v>
      </c>
      <c r="U37" s="40">
        <v>2603.194898</v>
      </c>
      <c r="V37" s="40">
        <v>17538.41223</v>
      </c>
      <c r="W37" s="40">
        <v>537.1402011</v>
      </c>
      <c r="X37" s="40">
        <v>1098.136906</v>
      </c>
      <c r="Y37" s="40">
        <v>316.2447424</v>
      </c>
      <c r="Z37" s="40">
        <v>3686.75453</v>
      </c>
    </row>
    <row r="38">
      <c r="A38" s="28"/>
      <c r="B38" s="19">
        <v>41311.0</v>
      </c>
      <c r="C38" s="20">
        <v>6.0</v>
      </c>
      <c r="D38" s="26">
        <v>37.0</v>
      </c>
      <c r="E38" s="34">
        <f t="shared" si="7"/>
        <v>6522.178571</v>
      </c>
      <c r="F38" s="34">
        <f t="shared" si="5"/>
        <v>0.2903225806</v>
      </c>
      <c r="G38" s="35">
        <f t="shared" si="6"/>
        <v>6869.717779</v>
      </c>
      <c r="H38" s="32"/>
      <c r="I38" s="34">
        <f t="shared" si="2"/>
        <v>6</v>
      </c>
      <c r="J38" s="32"/>
      <c r="K38" s="28"/>
      <c r="L38" s="34">
        <f t="shared" si="4"/>
        <v>42261.04645</v>
      </c>
      <c r="M38" s="28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>
      <c r="A39" s="28"/>
      <c r="B39" s="19">
        <v>41312.0</v>
      </c>
      <c r="C39" s="20">
        <v>6.0</v>
      </c>
      <c r="D39" s="26">
        <v>38.0</v>
      </c>
      <c r="E39" s="34">
        <f t="shared" si="7"/>
        <v>6522.178571</v>
      </c>
      <c r="F39" s="34">
        <f t="shared" si="5"/>
        <v>0.2580645161</v>
      </c>
      <c r="G39" s="35">
        <f t="shared" si="6"/>
        <v>6831.102312</v>
      </c>
      <c r="H39" s="32"/>
      <c r="I39" s="34">
        <f t="shared" si="2"/>
        <v>6</v>
      </c>
      <c r="J39" s="32"/>
      <c r="K39" s="28"/>
      <c r="L39" s="34">
        <f t="shared" si="4"/>
        <v>42261.04645</v>
      </c>
      <c r="M39" s="28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>
      <c r="A40" s="28"/>
      <c r="B40" s="19">
        <v>41313.0</v>
      </c>
      <c r="C40" s="20">
        <v>6.0</v>
      </c>
      <c r="D40" s="26">
        <v>39.0</v>
      </c>
      <c r="E40" s="34">
        <f t="shared" si="7"/>
        <v>6522.178571</v>
      </c>
      <c r="F40" s="34">
        <f t="shared" si="5"/>
        <v>0.2258064516</v>
      </c>
      <c r="G40" s="35">
        <f t="shared" si="6"/>
        <v>6792.486844</v>
      </c>
      <c r="H40" s="32"/>
      <c r="I40" s="34">
        <f t="shared" si="2"/>
        <v>6</v>
      </c>
      <c r="J40" s="32"/>
      <c r="K40" s="28"/>
      <c r="L40" s="34">
        <f t="shared" si="4"/>
        <v>42261.04645</v>
      </c>
      <c r="M40" s="28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>
      <c r="A41" s="28"/>
      <c r="B41" s="19">
        <v>41314.0</v>
      </c>
      <c r="C41" s="20">
        <v>6.0</v>
      </c>
      <c r="D41" s="26">
        <v>40.0</v>
      </c>
      <c r="E41" s="34">
        <f t="shared" si="7"/>
        <v>6522.178571</v>
      </c>
      <c r="F41" s="34">
        <f t="shared" si="5"/>
        <v>0.1935483871</v>
      </c>
      <c r="G41" s="35">
        <f t="shared" si="6"/>
        <v>6753.871377</v>
      </c>
      <c r="H41" s="32"/>
      <c r="I41" s="34">
        <f t="shared" si="2"/>
        <v>6</v>
      </c>
      <c r="J41" s="32"/>
      <c r="K41" s="28"/>
      <c r="L41" s="34">
        <f t="shared" si="4"/>
        <v>42261.04645</v>
      </c>
      <c r="M41" s="28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>
      <c r="A42" s="28"/>
      <c r="B42" s="19">
        <v>41315.0</v>
      </c>
      <c r="C42" s="20">
        <v>6.0</v>
      </c>
      <c r="D42" s="26">
        <v>41.0</v>
      </c>
      <c r="E42" s="34">
        <f t="shared" si="7"/>
        <v>6522.178571</v>
      </c>
      <c r="F42" s="34">
        <f t="shared" si="5"/>
        <v>0.1612903226</v>
      </c>
      <c r="G42" s="35">
        <f t="shared" si="6"/>
        <v>6715.255909</v>
      </c>
      <c r="H42" s="32"/>
      <c r="I42" s="34">
        <f t="shared" si="2"/>
        <v>6</v>
      </c>
      <c r="J42" s="32"/>
      <c r="K42" s="28"/>
      <c r="L42" s="34">
        <f t="shared" si="4"/>
        <v>42261.04645</v>
      </c>
      <c r="M42" s="28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>
      <c r="A43" s="28"/>
      <c r="B43" s="19">
        <v>41316.0</v>
      </c>
      <c r="C43" s="20">
        <v>6.0</v>
      </c>
      <c r="D43" s="26">
        <v>42.0</v>
      </c>
      <c r="E43" s="34">
        <f t="shared" si="7"/>
        <v>6522.178571</v>
      </c>
      <c r="F43" s="34">
        <f t="shared" si="5"/>
        <v>0.1290322581</v>
      </c>
      <c r="G43" s="35">
        <f t="shared" si="6"/>
        <v>6676.640442</v>
      </c>
      <c r="H43" s="32"/>
      <c r="I43" s="34">
        <f t="shared" si="2"/>
        <v>6</v>
      </c>
      <c r="J43" s="32"/>
      <c r="K43" s="28"/>
      <c r="L43" s="34">
        <f t="shared" si="4"/>
        <v>42261.04645</v>
      </c>
      <c r="M43" s="28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>
      <c r="A44" s="28"/>
      <c r="B44" s="19">
        <v>41317.0</v>
      </c>
      <c r="C44" s="20">
        <v>7.0</v>
      </c>
      <c r="D44" s="26">
        <v>43.0</v>
      </c>
      <c r="E44" s="34">
        <f t="shared" si="7"/>
        <v>6522.178571</v>
      </c>
      <c r="F44" s="34">
        <f t="shared" si="5"/>
        <v>0.09677419355</v>
      </c>
      <c r="G44" s="35">
        <f t="shared" si="6"/>
        <v>6638.024974</v>
      </c>
      <c r="H44" s="32"/>
      <c r="I44" s="34">
        <f t="shared" si="2"/>
        <v>7</v>
      </c>
      <c r="J44" s="35">
        <f>SUM(G44:G50)</f>
        <v>46065.66721</v>
      </c>
      <c r="K44" s="20">
        <v>46065.66721</v>
      </c>
      <c r="L44" s="34">
        <f t="shared" si="4"/>
        <v>42261.04645</v>
      </c>
      <c r="M44" s="20">
        <v>42261.04645</v>
      </c>
      <c r="N44" s="40">
        <v>11803.89356</v>
      </c>
      <c r="O44" s="40">
        <v>10439.96773</v>
      </c>
      <c r="P44" s="40">
        <v>2755.348345</v>
      </c>
      <c r="Q44" s="40">
        <v>19590.52643</v>
      </c>
      <c r="R44" s="39"/>
      <c r="S44" s="40">
        <v>11013.04547</v>
      </c>
      <c r="T44" s="40">
        <v>10247.4383</v>
      </c>
      <c r="U44" s="40">
        <v>2432.970968</v>
      </c>
      <c r="V44" s="40">
        <v>18315.99519</v>
      </c>
      <c r="W44" s="40">
        <v>790.8480913</v>
      </c>
      <c r="X44" s="40">
        <v>192.5294302</v>
      </c>
      <c r="Y44" s="40">
        <v>322.377377</v>
      </c>
      <c r="Z44" s="40">
        <v>1274.531246</v>
      </c>
    </row>
    <row r="45">
      <c r="A45" s="28"/>
      <c r="B45" s="19">
        <v>41318.0</v>
      </c>
      <c r="C45" s="20">
        <v>7.0</v>
      </c>
      <c r="D45" s="26">
        <v>44.0</v>
      </c>
      <c r="E45" s="34">
        <f t="shared" si="7"/>
        <v>6522.178571</v>
      </c>
      <c r="F45" s="34">
        <f t="shared" si="5"/>
        <v>0.06451612903</v>
      </c>
      <c r="G45" s="35">
        <f>E30*F45+(1-F45)*E60</f>
        <v>6599.409506</v>
      </c>
      <c r="H45" s="32"/>
      <c r="I45" s="34">
        <f t="shared" si="2"/>
        <v>7</v>
      </c>
      <c r="J45" s="32"/>
      <c r="K45" s="28"/>
      <c r="L45" s="34">
        <f t="shared" si="4"/>
        <v>42261.04645</v>
      </c>
      <c r="M45" s="28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>
      <c r="A46" s="28"/>
      <c r="B46" s="19">
        <v>41319.0</v>
      </c>
      <c r="C46" s="20">
        <v>7.0</v>
      </c>
      <c r="D46" s="26">
        <v>45.0</v>
      </c>
      <c r="E46" s="34">
        <f t="shared" si="7"/>
        <v>6522.178571</v>
      </c>
      <c r="F46" s="34">
        <f t="shared" si="5"/>
        <v>0.03225806452</v>
      </c>
      <c r="G46" s="35">
        <f>E31*F46+(1-F46)*E60</f>
        <v>6560.794039</v>
      </c>
      <c r="H46" s="32"/>
      <c r="I46" s="34">
        <f t="shared" si="2"/>
        <v>7</v>
      </c>
      <c r="J46" s="32"/>
      <c r="K46" s="28"/>
      <c r="L46" s="34">
        <f t="shared" si="4"/>
        <v>42261.04645</v>
      </c>
      <c r="M46" s="28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>
      <c r="A47" s="13"/>
      <c r="B47" s="19">
        <v>41320.0</v>
      </c>
      <c r="C47" s="20">
        <v>7.0</v>
      </c>
      <c r="D47" s="26">
        <v>46.0</v>
      </c>
      <c r="E47" s="34">
        <f t="shared" si="7"/>
        <v>6522.178571</v>
      </c>
      <c r="F47" s="34">
        <v>1.0</v>
      </c>
      <c r="G47" s="35">
        <f>E47</f>
        <v>6522.178571</v>
      </c>
      <c r="H47" s="32"/>
      <c r="I47" s="34">
        <f t="shared" si="2"/>
        <v>7</v>
      </c>
      <c r="J47" s="32"/>
      <c r="K47" s="28"/>
      <c r="L47" s="34">
        <f t="shared" si="4"/>
        <v>42261.04645</v>
      </c>
      <c r="M47" s="28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>
      <c r="A48" s="13"/>
      <c r="B48" s="19">
        <v>41321.0</v>
      </c>
      <c r="C48" s="20">
        <v>7.0</v>
      </c>
      <c r="D48" s="26">
        <v>47.0</v>
      </c>
      <c r="E48" s="34">
        <f t="shared" si="7"/>
        <v>6522.178571</v>
      </c>
      <c r="F48" s="34">
        <f t="shared" ref="F48:F74" si="8">abs((D48-74)/(74-46))</f>
        <v>0.9642857143</v>
      </c>
      <c r="G48" s="35">
        <f t="shared" ref="G48:G75" si="9">E33*F48+(1-F48)*E62</f>
        <v>6551.965973</v>
      </c>
      <c r="H48" s="32"/>
      <c r="I48" s="34">
        <f t="shared" si="2"/>
        <v>7</v>
      </c>
      <c r="J48" s="32"/>
      <c r="K48" s="28"/>
      <c r="L48" s="34">
        <f t="shared" si="4"/>
        <v>42261.04645</v>
      </c>
      <c r="M48" s="28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>
      <c r="A49" s="28"/>
      <c r="B49" s="19">
        <v>41322.0</v>
      </c>
      <c r="C49" s="20">
        <v>7.0</v>
      </c>
      <c r="D49" s="26">
        <v>48.0</v>
      </c>
      <c r="E49" s="34">
        <f t="shared" si="7"/>
        <v>6522.178571</v>
      </c>
      <c r="F49" s="34">
        <f t="shared" si="8"/>
        <v>0.9285714286</v>
      </c>
      <c r="G49" s="35">
        <f t="shared" si="9"/>
        <v>6581.753374</v>
      </c>
      <c r="H49" s="32"/>
      <c r="I49" s="34">
        <f t="shared" si="2"/>
        <v>7</v>
      </c>
      <c r="J49" s="32"/>
      <c r="K49" s="28"/>
      <c r="L49" s="34">
        <f t="shared" si="4"/>
        <v>42261.04645</v>
      </c>
      <c r="M49" s="28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>
      <c r="A50" s="28"/>
      <c r="B50" s="19">
        <v>41323.0</v>
      </c>
      <c r="C50" s="20">
        <v>7.0</v>
      </c>
      <c r="D50" s="26">
        <v>49.0</v>
      </c>
      <c r="E50" s="34">
        <f t="shared" si="7"/>
        <v>6522.178571</v>
      </c>
      <c r="F50" s="34">
        <f t="shared" si="8"/>
        <v>0.8928571429</v>
      </c>
      <c r="G50" s="35">
        <f t="shared" si="9"/>
        <v>6611.540775</v>
      </c>
      <c r="H50" s="32"/>
      <c r="I50" s="34">
        <f t="shared" si="2"/>
        <v>7</v>
      </c>
      <c r="J50" s="32"/>
      <c r="K50" s="28"/>
      <c r="L50" s="34">
        <f t="shared" si="4"/>
        <v>42261.04645</v>
      </c>
      <c r="M50" s="28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>
      <c r="A51" s="28"/>
      <c r="B51" s="19">
        <v>41324.0</v>
      </c>
      <c r="C51" s="20">
        <v>8.0</v>
      </c>
      <c r="D51" s="26">
        <v>50.0</v>
      </c>
      <c r="E51" s="34">
        <f t="shared" si="7"/>
        <v>6522.178571</v>
      </c>
      <c r="F51" s="34">
        <f t="shared" si="8"/>
        <v>0.8571428571</v>
      </c>
      <c r="G51" s="35">
        <f t="shared" si="9"/>
        <v>6641.328176</v>
      </c>
      <c r="H51" s="32"/>
      <c r="I51" s="34">
        <f t="shared" si="2"/>
        <v>8</v>
      </c>
      <c r="J51" s="35">
        <f>SUM(G51:G57)</f>
        <v>47114.83266</v>
      </c>
      <c r="K51" s="20">
        <v>47114.83266</v>
      </c>
      <c r="L51" s="34">
        <f t="shared" si="4"/>
        <v>42261.04645</v>
      </c>
      <c r="M51" s="20">
        <v>42261.04645</v>
      </c>
      <c r="N51" s="40">
        <v>12227.94301</v>
      </c>
      <c r="O51" s="40">
        <v>10851.02928</v>
      </c>
      <c r="P51" s="40">
        <v>2741.218846</v>
      </c>
      <c r="Q51" s="40">
        <v>20904.1618</v>
      </c>
      <c r="R51" s="39"/>
      <c r="S51" s="40">
        <v>11686.64138</v>
      </c>
      <c r="T51" s="40">
        <v>10305.5123</v>
      </c>
      <c r="U51" s="40">
        <v>2443.989334</v>
      </c>
      <c r="V51" s="40">
        <v>18505.43316</v>
      </c>
      <c r="W51" s="40">
        <v>541.3016374</v>
      </c>
      <c r="X51" s="40">
        <v>545.5169798</v>
      </c>
      <c r="Y51" s="40">
        <v>297.2295117</v>
      </c>
      <c r="Z51" s="40">
        <v>2398.72864</v>
      </c>
    </row>
    <row r="52">
      <c r="A52" s="28"/>
      <c r="B52" s="19">
        <v>41325.0</v>
      </c>
      <c r="C52" s="20">
        <v>8.0</v>
      </c>
      <c r="D52" s="26">
        <v>51.0</v>
      </c>
      <c r="E52" s="34">
        <f t="shared" si="7"/>
        <v>6522.178571</v>
      </c>
      <c r="F52" s="34">
        <f t="shared" si="8"/>
        <v>0.8214285714</v>
      </c>
      <c r="G52" s="35">
        <f t="shared" si="9"/>
        <v>6671.115578</v>
      </c>
      <c r="H52" s="32"/>
      <c r="I52" s="34">
        <f t="shared" si="2"/>
        <v>8</v>
      </c>
      <c r="J52" s="32"/>
      <c r="K52" s="28"/>
      <c r="L52" s="34">
        <f t="shared" si="4"/>
        <v>42261.04645</v>
      </c>
      <c r="M52" s="28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>
      <c r="A53" s="28"/>
      <c r="B53" s="19">
        <v>41326.0</v>
      </c>
      <c r="C53" s="20">
        <v>8.0</v>
      </c>
      <c r="D53" s="26">
        <v>52.0</v>
      </c>
      <c r="E53" s="34">
        <f t="shared" si="7"/>
        <v>6522.178571</v>
      </c>
      <c r="F53" s="34">
        <f t="shared" si="8"/>
        <v>0.7857142857</v>
      </c>
      <c r="G53" s="35">
        <f t="shared" si="9"/>
        <v>6700.902979</v>
      </c>
      <c r="H53" s="32"/>
      <c r="I53" s="34">
        <f t="shared" si="2"/>
        <v>8</v>
      </c>
      <c r="J53" s="32"/>
      <c r="K53" s="28"/>
      <c r="L53" s="34">
        <f t="shared" si="4"/>
        <v>42261.04645</v>
      </c>
      <c r="M53" s="28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>
      <c r="A54" s="28"/>
      <c r="B54" s="19">
        <v>41327.0</v>
      </c>
      <c r="C54" s="20">
        <v>8.0</v>
      </c>
      <c r="D54" s="26">
        <v>53.0</v>
      </c>
      <c r="E54" s="34">
        <f t="shared" si="7"/>
        <v>6522.178571</v>
      </c>
      <c r="F54" s="34">
        <f t="shared" si="8"/>
        <v>0.75</v>
      </c>
      <c r="G54" s="35">
        <f t="shared" si="9"/>
        <v>6730.69038</v>
      </c>
      <c r="H54" s="32"/>
      <c r="I54" s="34">
        <f t="shared" si="2"/>
        <v>8</v>
      </c>
      <c r="J54" s="32"/>
      <c r="K54" s="28"/>
      <c r="L54" s="34">
        <f t="shared" si="4"/>
        <v>42261.04645</v>
      </c>
      <c r="M54" s="28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>
      <c r="A55" s="28"/>
      <c r="B55" s="19">
        <v>41328.0</v>
      </c>
      <c r="C55" s="20">
        <v>8.0</v>
      </c>
      <c r="D55" s="26">
        <v>54.0</v>
      </c>
      <c r="E55" s="34">
        <f t="shared" si="7"/>
        <v>6522.178571</v>
      </c>
      <c r="F55" s="34">
        <f t="shared" si="8"/>
        <v>0.7142857143</v>
      </c>
      <c r="G55" s="35">
        <f t="shared" si="9"/>
        <v>6760.477781</v>
      </c>
      <c r="H55" s="32"/>
      <c r="I55" s="34">
        <f t="shared" si="2"/>
        <v>8</v>
      </c>
      <c r="J55" s="32"/>
      <c r="K55" s="28"/>
      <c r="L55" s="34">
        <f t="shared" si="4"/>
        <v>42261.04645</v>
      </c>
      <c r="M55" s="28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>
      <c r="A56" s="28"/>
      <c r="B56" s="19">
        <v>41329.0</v>
      </c>
      <c r="C56" s="20">
        <v>8.0</v>
      </c>
      <c r="D56" s="26">
        <v>55.0</v>
      </c>
      <c r="E56" s="34">
        <f t="shared" si="7"/>
        <v>6522.178571</v>
      </c>
      <c r="F56" s="34">
        <f t="shared" si="8"/>
        <v>0.6785714286</v>
      </c>
      <c r="G56" s="35">
        <f t="shared" si="9"/>
        <v>6790.265183</v>
      </c>
      <c r="H56" s="32"/>
      <c r="I56" s="34">
        <f t="shared" si="2"/>
        <v>8</v>
      </c>
      <c r="J56" s="32"/>
      <c r="K56" s="28"/>
      <c r="L56" s="34">
        <f t="shared" si="4"/>
        <v>42261.04645</v>
      </c>
      <c r="M56" s="28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>
      <c r="A57" s="28"/>
      <c r="B57" s="19">
        <v>41330.0</v>
      </c>
      <c r="C57" s="20">
        <v>8.0</v>
      </c>
      <c r="D57" s="26">
        <v>56.0</v>
      </c>
      <c r="E57" s="34">
        <f t="shared" si="7"/>
        <v>6522.178571</v>
      </c>
      <c r="F57" s="34">
        <f t="shared" si="8"/>
        <v>0.6428571429</v>
      </c>
      <c r="G57" s="35">
        <f t="shared" si="9"/>
        <v>6820.052584</v>
      </c>
      <c r="H57" s="32"/>
      <c r="I57" s="34">
        <f t="shared" si="2"/>
        <v>8</v>
      </c>
      <c r="J57" s="32"/>
      <c r="K57" s="28"/>
      <c r="L57" s="34">
        <f t="shared" si="4"/>
        <v>42261.04645</v>
      </c>
      <c r="M57" s="28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>
      <c r="A58" s="28"/>
      <c r="B58" s="19">
        <v>41331.0</v>
      </c>
      <c r="C58" s="20">
        <v>9.0</v>
      </c>
      <c r="D58" s="26">
        <v>57.0</v>
      </c>
      <c r="E58" s="34">
        <f t="shared" si="7"/>
        <v>6522.178571</v>
      </c>
      <c r="F58" s="34">
        <f t="shared" si="8"/>
        <v>0.6071428571</v>
      </c>
      <c r="G58" s="35">
        <f t="shared" si="9"/>
        <v>6849.839985</v>
      </c>
      <c r="H58" s="32"/>
      <c r="I58" s="34">
        <f t="shared" si="2"/>
        <v>9</v>
      </c>
      <c r="J58" s="35">
        <f>SUM(G58:G64)</f>
        <v>48574.41532</v>
      </c>
      <c r="K58" s="20">
        <v>48574.41532</v>
      </c>
      <c r="L58" s="34">
        <f t="shared" si="4"/>
        <v>42261.04645</v>
      </c>
      <c r="M58" s="20">
        <v>42261.04645</v>
      </c>
      <c r="N58" s="40">
        <v>12791.29645</v>
      </c>
      <c r="O58" s="40">
        <v>11680.38411</v>
      </c>
      <c r="P58" s="40">
        <v>2993.312782</v>
      </c>
      <c r="Q58" s="40">
        <v>20370.14583</v>
      </c>
      <c r="R58" s="39"/>
      <c r="S58" s="40">
        <v>11240.40289</v>
      </c>
      <c r="T58" s="40">
        <v>10212.90716</v>
      </c>
      <c r="U58" s="40">
        <v>2620.498433</v>
      </c>
      <c r="V58" s="40">
        <v>19201.32705</v>
      </c>
      <c r="W58" s="40">
        <v>1550.893557</v>
      </c>
      <c r="X58" s="40">
        <v>1467.476954</v>
      </c>
      <c r="Y58" s="40">
        <v>372.8143494</v>
      </c>
      <c r="Z58" s="40">
        <v>1168.818775</v>
      </c>
    </row>
    <row r="59">
      <c r="A59" s="28"/>
      <c r="B59" s="19">
        <v>41332.0</v>
      </c>
      <c r="C59" s="20">
        <v>9.0</v>
      </c>
      <c r="D59" s="26">
        <v>58.0</v>
      </c>
      <c r="E59" s="34">
        <f t="shared" si="7"/>
        <v>6522.178571</v>
      </c>
      <c r="F59" s="34">
        <f t="shared" si="8"/>
        <v>0.5714285714</v>
      </c>
      <c r="G59" s="35">
        <f t="shared" si="9"/>
        <v>6879.627386</v>
      </c>
      <c r="H59" s="32"/>
      <c r="I59" s="34">
        <f t="shared" si="2"/>
        <v>9</v>
      </c>
      <c r="J59" s="32"/>
      <c r="K59" s="28"/>
      <c r="L59" s="34">
        <f t="shared" si="4"/>
        <v>42261.04645</v>
      </c>
      <c r="M59" s="28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>
      <c r="A60" s="28"/>
      <c r="B60" s="19">
        <v>41333.0</v>
      </c>
      <c r="C60" s="20">
        <v>9.0</v>
      </c>
      <c r="D60" s="26">
        <v>59.0</v>
      </c>
      <c r="E60" s="34">
        <f t="shared" si="7"/>
        <v>6522.178571</v>
      </c>
      <c r="F60" s="34">
        <f t="shared" si="8"/>
        <v>0.5357142857</v>
      </c>
      <c r="G60" s="35">
        <f t="shared" si="9"/>
        <v>6909.414788</v>
      </c>
      <c r="H60" s="32"/>
      <c r="I60" s="34">
        <f t="shared" si="2"/>
        <v>9</v>
      </c>
      <c r="J60" s="32"/>
      <c r="K60" s="28"/>
      <c r="L60" s="34">
        <f t="shared" si="4"/>
        <v>42261.04645</v>
      </c>
      <c r="M60" s="28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>
      <c r="A61" s="13" t="s">
        <v>66</v>
      </c>
      <c r="B61" s="19">
        <v>41334.0</v>
      </c>
      <c r="C61" s="20">
        <v>9.0</v>
      </c>
      <c r="D61" s="26">
        <v>60.0</v>
      </c>
      <c r="E61" s="34">
        <f>A63/31</f>
        <v>7356.225806</v>
      </c>
      <c r="F61" s="34">
        <f t="shared" si="8"/>
        <v>0.5</v>
      </c>
      <c r="G61" s="35">
        <f t="shared" si="9"/>
        <v>6939.202189</v>
      </c>
      <c r="H61" s="32"/>
      <c r="I61" s="34">
        <f t="shared" si="2"/>
        <v>9</v>
      </c>
      <c r="J61" s="32"/>
      <c r="K61" s="28"/>
      <c r="L61" s="34">
        <f t="shared" si="4"/>
        <v>42261.04645</v>
      </c>
      <c r="M61" s="28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>
      <c r="A62" s="28"/>
      <c r="B62" s="19">
        <v>41335.0</v>
      </c>
      <c r="C62" s="20">
        <v>9.0</v>
      </c>
      <c r="D62" s="26">
        <v>61.0</v>
      </c>
      <c r="E62" s="34">
        <f t="shared" ref="E62:E91" si="10">E61</f>
        <v>7356.225806</v>
      </c>
      <c r="F62" s="34">
        <f t="shared" si="8"/>
        <v>0.4642857143</v>
      </c>
      <c r="G62" s="35">
        <f t="shared" si="9"/>
        <v>6968.98959</v>
      </c>
      <c r="H62" s="32"/>
      <c r="I62" s="34">
        <f t="shared" si="2"/>
        <v>9</v>
      </c>
      <c r="J62" s="32"/>
      <c r="K62" s="28"/>
      <c r="L62" s="34">
        <f t="shared" si="4"/>
        <v>42261.04645</v>
      </c>
      <c r="M62" s="28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>
      <c r="A63" s="20">
        <v>228043.0</v>
      </c>
      <c r="B63" s="19">
        <v>41336.0</v>
      </c>
      <c r="C63" s="20">
        <v>9.0</v>
      </c>
      <c r="D63" s="26">
        <v>62.0</v>
      </c>
      <c r="E63" s="34">
        <f t="shared" si="10"/>
        <v>7356.225806</v>
      </c>
      <c r="F63" s="34">
        <f t="shared" si="8"/>
        <v>0.4285714286</v>
      </c>
      <c r="G63" s="35">
        <f t="shared" si="9"/>
        <v>6998.776991</v>
      </c>
      <c r="H63" s="32"/>
      <c r="I63" s="34">
        <f t="shared" si="2"/>
        <v>9</v>
      </c>
      <c r="J63" s="32"/>
      <c r="K63" s="28"/>
      <c r="L63" s="34">
        <f t="shared" si="4"/>
        <v>42261.04645</v>
      </c>
      <c r="M63" s="28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>
      <c r="A64" s="28"/>
      <c r="B64" s="19">
        <v>41337.0</v>
      </c>
      <c r="C64" s="20">
        <v>9.0</v>
      </c>
      <c r="D64" s="26">
        <v>63.0</v>
      </c>
      <c r="E64" s="34">
        <f t="shared" si="10"/>
        <v>7356.225806</v>
      </c>
      <c r="F64" s="34">
        <f t="shared" si="8"/>
        <v>0.3928571429</v>
      </c>
      <c r="G64" s="35">
        <f t="shared" si="9"/>
        <v>7028.564393</v>
      </c>
      <c r="H64" s="32"/>
      <c r="I64" s="34">
        <f t="shared" si="2"/>
        <v>9</v>
      </c>
      <c r="J64" s="32"/>
      <c r="K64" s="28"/>
      <c r="L64" s="34">
        <f t="shared" si="4"/>
        <v>42261.04645</v>
      </c>
      <c r="M64" s="28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>
      <c r="A65" s="28"/>
      <c r="B65" s="19">
        <v>41338.0</v>
      </c>
      <c r="C65" s="20">
        <v>10.0</v>
      </c>
      <c r="D65" s="26">
        <v>64.0</v>
      </c>
      <c r="E65" s="34">
        <f t="shared" si="10"/>
        <v>7356.225806</v>
      </c>
      <c r="F65" s="34">
        <f t="shared" si="8"/>
        <v>0.3571428571</v>
      </c>
      <c r="G65" s="35">
        <f t="shared" si="9"/>
        <v>7058.351794</v>
      </c>
      <c r="H65" s="32"/>
      <c r="I65" s="34">
        <f t="shared" si="2"/>
        <v>10</v>
      </c>
      <c r="J65" s="35">
        <f>SUM(G65:G71)</f>
        <v>50033.99798</v>
      </c>
      <c r="K65" s="20">
        <v>50033.99798</v>
      </c>
      <c r="L65" s="34">
        <f t="shared" si="4"/>
        <v>42261.04645</v>
      </c>
      <c r="M65" s="20">
        <v>42261.04645</v>
      </c>
      <c r="N65" s="40">
        <v>13755.12798</v>
      </c>
      <c r="O65" s="40">
        <v>11521.38588</v>
      </c>
      <c r="P65" s="40">
        <v>2938.064877</v>
      </c>
      <c r="Q65" s="40">
        <v>21180.79603</v>
      </c>
      <c r="R65" s="39"/>
      <c r="S65" s="40">
        <v>11725.65803</v>
      </c>
      <c r="T65" s="40">
        <v>10324.5275</v>
      </c>
      <c r="U65" s="40">
        <v>2477.8075</v>
      </c>
      <c r="V65" s="40">
        <v>18115.84292</v>
      </c>
      <c r="W65" s="40">
        <v>2029.46995</v>
      </c>
      <c r="X65" s="40">
        <v>1196.858384</v>
      </c>
      <c r="Y65" s="40">
        <v>460.257377</v>
      </c>
      <c r="Z65" s="40">
        <v>3064.95311</v>
      </c>
    </row>
    <row r="66">
      <c r="A66" s="28"/>
      <c r="B66" s="19">
        <v>41339.0</v>
      </c>
      <c r="C66" s="20">
        <v>10.0</v>
      </c>
      <c r="D66" s="26">
        <v>65.0</v>
      </c>
      <c r="E66" s="34">
        <f t="shared" si="10"/>
        <v>7356.225806</v>
      </c>
      <c r="F66" s="34">
        <f t="shared" si="8"/>
        <v>0.3214285714</v>
      </c>
      <c r="G66" s="35">
        <f t="shared" si="9"/>
        <v>7088.139195</v>
      </c>
      <c r="H66" s="32"/>
      <c r="I66" s="34">
        <f t="shared" si="2"/>
        <v>10</v>
      </c>
      <c r="J66" s="32"/>
      <c r="K66" s="28"/>
      <c r="L66" s="34">
        <f t="shared" si="4"/>
        <v>42261.04645</v>
      </c>
      <c r="M66" s="28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>
      <c r="A67" s="28"/>
      <c r="B67" s="19">
        <v>41340.0</v>
      </c>
      <c r="C67" s="20">
        <v>10.0</v>
      </c>
      <c r="D67" s="26">
        <v>66.0</v>
      </c>
      <c r="E67" s="34">
        <f t="shared" si="10"/>
        <v>7356.225806</v>
      </c>
      <c r="F67" s="34">
        <f t="shared" si="8"/>
        <v>0.2857142857</v>
      </c>
      <c r="G67" s="35">
        <f t="shared" si="9"/>
        <v>7117.926596</v>
      </c>
      <c r="H67" s="32"/>
      <c r="I67" s="34">
        <f t="shared" si="2"/>
        <v>10</v>
      </c>
      <c r="J67" s="32"/>
      <c r="K67" s="28"/>
      <c r="L67" s="34">
        <f t="shared" si="4"/>
        <v>42261.04645</v>
      </c>
      <c r="M67" s="28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>
      <c r="A68" s="28"/>
      <c r="B68" s="19">
        <v>41341.0</v>
      </c>
      <c r="C68" s="20">
        <v>10.0</v>
      </c>
      <c r="D68" s="26">
        <v>67.0</v>
      </c>
      <c r="E68" s="34">
        <f t="shared" si="10"/>
        <v>7356.225806</v>
      </c>
      <c r="F68" s="34">
        <f t="shared" si="8"/>
        <v>0.25</v>
      </c>
      <c r="G68" s="35">
        <f t="shared" si="9"/>
        <v>7147.713998</v>
      </c>
      <c r="H68" s="32"/>
      <c r="I68" s="34">
        <f t="shared" si="2"/>
        <v>10</v>
      </c>
      <c r="J68" s="32"/>
      <c r="K68" s="28"/>
      <c r="L68" s="34">
        <f t="shared" si="4"/>
        <v>42261.04645</v>
      </c>
      <c r="M68" s="28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>
      <c r="A69" s="28"/>
      <c r="B69" s="19">
        <v>41342.0</v>
      </c>
      <c r="C69" s="20">
        <v>10.0</v>
      </c>
      <c r="D69" s="26">
        <v>68.0</v>
      </c>
      <c r="E69" s="34">
        <f t="shared" si="10"/>
        <v>7356.225806</v>
      </c>
      <c r="F69" s="34">
        <f t="shared" si="8"/>
        <v>0.2142857143</v>
      </c>
      <c r="G69" s="35">
        <f t="shared" si="9"/>
        <v>7177.501399</v>
      </c>
      <c r="H69" s="32"/>
      <c r="I69" s="34">
        <f t="shared" si="2"/>
        <v>10</v>
      </c>
      <c r="J69" s="32"/>
      <c r="K69" s="28"/>
      <c r="L69" s="34">
        <f t="shared" si="4"/>
        <v>42261.04645</v>
      </c>
      <c r="M69" s="28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>
      <c r="A70" s="28"/>
      <c r="B70" s="19">
        <v>41343.0</v>
      </c>
      <c r="C70" s="20">
        <v>10.0</v>
      </c>
      <c r="D70" s="26">
        <v>69.0</v>
      </c>
      <c r="E70" s="34">
        <f t="shared" si="10"/>
        <v>7356.225806</v>
      </c>
      <c r="F70" s="34">
        <f t="shared" si="8"/>
        <v>0.1785714286</v>
      </c>
      <c r="G70" s="35">
        <f t="shared" si="9"/>
        <v>7207.2888</v>
      </c>
      <c r="H70" s="32"/>
      <c r="I70" s="34">
        <f t="shared" si="2"/>
        <v>10</v>
      </c>
      <c r="J70" s="32"/>
      <c r="K70" s="28"/>
      <c r="L70" s="34">
        <f t="shared" si="4"/>
        <v>42261.04645</v>
      </c>
      <c r="M70" s="28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>
      <c r="A71" s="28"/>
      <c r="B71" s="19">
        <v>41344.0</v>
      </c>
      <c r="C71" s="20">
        <v>10.0</v>
      </c>
      <c r="D71" s="26">
        <v>70.0</v>
      </c>
      <c r="E71" s="34">
        <f t="shared" si="10"/>
        <v>7356.225806</v>
      </c>
      <c r="F71" s="34">
        <f t="shared" si="8"/>
        <v>0.1428571429</v>
      </c>
      <c r="G71" s="35">
        <f t="shared" si="9"/>
        <v>7237.076201</v>
      </c>
      <c r="H71" s="32"/>
      <c r="I71" s="34">
        <f t="shared" si="2"/>
        <v>10</v>
      </c>
      <c r="J71" s="32"/>
      <c r="K71" s="28"/>
      <c r="L71" s="34">
        <f t="shared" si="4"/>
        <v>42261.04645</v>
      </c>
      <c r="M71" s="28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>
      <c r="A72" s="28"/>
      <c r="B72" s="19">
        <v>41345.0</v>
      </c>
      <c r="C72" s="20">
        <v>11.0</v>
      </c>
      <c r="D72" s="26">
        <v>71.0</v>
      </c>
      <c r="E72" s="34">
        <f t="shared" si="10"/>
        <v>7356.225806</v>
      </c>
      <c r="F72" s="34">
        <f t="shared" si="8"/>
        <v>0.1071428571</v>
      </c>
      <c r="G72" s="35">
        <f t="shared" si="9"/>
        <v>7266.863603</v>
      </c>
      <c r="H72" s="32"/>
      <c r="I72" s="34">
        <f t="shared" si="2"/>
        <v>11</v>
      </c>
      <c r="J72" s="35">
        <f>SUM(G72:G78)</f>
        <v>51129.59963</v>
      </c>
      <c r="K72" s="20">
        <v>51129.59963</v>
      </c>
      <c r="L72" s="34">
        <f t="shared" si="4"/>
        <v>42261.04645</v>
      </c>
      <c r="M72" s="20">
        <v>42261.04645</v>
      </c>
      <c r="N72" s="40">
        <v>13264.80956</v>
      </c>
      <c r="O72" s="40">
        <v>12457.35127</v>
      </c>
      <c r="P72" s="40">
        <v>3216.777267</v>
      </c>
      <c r="Q72" s="40">
        <v>23387.25753</v>
      </c>
      <c r="R72" s="39"/>
      <c r="S72" s="40">
        <v>11368.10396</v>
      </c>
      <c r="T72" s="40">
        <v>9911.317666</v>
      </c>
      <c r="U72" s="40">
        <v>2527.834581</v>
      </c>
      <c r="V72" s="40">
        <v>18109.7109</v>
      </c>
      <c r="W72" s="40">
        <v>1896.705601</v>
      </c>
      <c r="X72" s="40">
        <v>2546.033603</v>
      </c>
      <c r="Y72" s="40">
        <v>688.9426856</v>
      </c>
      <c r="Z72" s="40">
        <v>5277.546625</v>
      </c>
    </row>
    <row r="73">
      <c r="A73" s="28"/>
      <c r="B73" s="19">
        <v>41346.0</v>
      </c>
      <c r="C73" s="20">
        <v>11.0</v>
      </c>
      <c r="D73" s="26">
        <v>72.0</v>
      </c>
      <c r="E73" s="34">
        <f t="shared" si="10"/>
        <v>7356.225806</v>
      </c>
      <c r="F73" s="34">
        <f t="shared" si="8"/>
        <v>0.07142857143</v>
      </c>
      <c r="G73" s="35">
        <f t="shared" si="9"/>
        <v>7296.651004</v>
      </c>
      <c r="H73" s="32"/>
      <c r="I73" s="34">
        <f t="shared" si="2"/>
        <v>11</v>
      </c>
      <c r="J73" s="32"/>
      <c r="K73" s="28"/>
      <c r="L73" s="34">
        <f t="shared" si="4"/>
        <v>42261.04645</v>
      </c>
      <c r="M73" s="28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>
      <c r="A74" s="28"/>
      <c r="B74" s="19">
        <v>41347.0</v>
      </c>
      <c r="C74" s="20">
        <v>11.0</v>
      </c>
      <c r="D74" s="26">
        <v>73.0</v>
      </c>
      <c r="E74" s="34">
        <f t="shared" si="10"/>
        <v>7356.225806</v>
      </c>
      <c r="F74" s="34">
        <f t="shared" si="8"/>
        <v>0.03571428571</v>
      </c>
      <c r="G74" s="35">
        <f t="shared" si="9"/>
        <v>7326.438405</v>
      </c>
      <c r="H74" s="32"/>
      <c r="I74" s="34">
        <f t="shared" si="2"/>
        <v>11</v>
      </c>
      <c r="J74" s="32"/>
      <c r="K74" s="28"/>
      <c r="L74" s="34">
        <f t="shared" si="4"/>
        <v>42261.04645</v>
      </c>
      <c r="M74" s="28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>
      <c r="A75" s="28"/>
      <c r="B75" s="19">
        <v>41348.0</v>
      </c>
      <c r="C75" s="20">
        <v>11.0</v>
      </c>
      <c r="D75" s="26">
        <v>74.0</v>
      </c>
      <c r="E75" s="34">
        <f t="shared" si="10"/>
        <v>7356.225806</v>
      </c>
      <c r="F75" s="34">
        <v>0.0</v>
      </c>
      <c r="G75" s="35">
        <f t="shared" si="9"/>
        <v>7356.225806</v>
      </c>
      <c r="H75" s="32"/>
      <c r="I75" s="34">
        <f t="shared" si="2"/>
        <v>11</v>
      </c>
      <c r="J75" s="32"/>
      <c r="K75" s="28"/>
      <c r="L75" s="34">
        <f t="shared" si="4"/>
        <v>42261.04645</v>
      </c>
      <c r="M75" s="28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>
      <c r="A76" s="28"/>
      <c r="B76" s="19">
        <v>41349.0</v>
      </c>
      <c r="C76" s="20">
        <v>11.0</v>
      </c>
      <c r="D76" s="26">
        <v>75.0</v>
      </c>
      <c r="E76" s="34">
        <f t="shared" si="10"/>
        <v>7356.225806</v>
      </c>
      <c r="F76" s="34">
        <f t="shared" ref="F76:F105" si="11">abs((D76-105)/(105-74))</f>
        <v>0.9677419355</v>
      </c>
      <c r="G76" s="35">
        <f t="shared" ref="G76:G105" si="12">E61*F76+(1-F76)*E92</f>
        <v>7325.349705</v>
      </c>
      <c r="H76" s="32"/>
      <c r="I76" s="34">
        <f t="shared" si="2"/>
        <v>11</v>
      </c>
      <c r="J76" s="32"/>
      <c r="K76" s="28"/>
      <c r="L76" s="34">
        <f t="shared" si="4"/>
        <v>42261.04645</v>
      </c>
      <c r="M76" s="28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>
      <c r="A77" s="13"/>
      <c r="B77" s="19">
        <v>41350.0</v>
      </c>
      <c r="C77" s="20">
        <v>11.0</v>
      </c>
      <c r="D77" s="26">
        <v>76.0</v>
      </c>
      <c r="E77" s="34">
        <f t="shared" si="10"/>
        <v>7356.225806</v>
      </c>
      <c r="F77" s="34">
        <f t="shared" si="11"/>
        <v>0.935483871</v>
      </c>
      <c r="G77" s="35">
        <f t="shared" si="12"/>
        <v>7294.473604</v>
      </c>
      <c r="H77" s="32"/>
      <c r="I77" s="34">
        <f t="shared" si="2"/>
        <v>11</v>
      </c>
      <c r="J77" s="32"/>
      <c r="K77" s="28"/>
      <c r="L77" s="34">
        <f t="shared" si="4"/>
        <v>42261.04645</v>
      </c>
      <c r="M77" s="28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>
      <c r="A78" s="13"/>
      <c r="B78" s="19">
        <v>41351.0</v>
      </c>
      <c r="C78" s="20">
        <v>11.0</v>
      </c>
      <c r="D78" s="26">
        <v>77.0</v>
      </c>
      <c r="E78" s="34">
        <f t="shared" si="10"/>
        <v>7356.225806</v>
      </c>
      <c r="F78" s="34">
        <f t="shared" si="11"/>
        <v>0.9032258065</v>
      </c>
      <c r="G78" s="35">
        <f t="shared" si="12"/>
        <v>7263.597503</v>
      </c>
      <c r="H78" s="32"/>
      <c r="I78" s="34">
        <f t="shared" si="2"/>
        <v>11</v>
      </c>
      <c r="J78" s="32"/>
      <c r="K78" s="28"/>
      <c r="L78" s="34">
        <f t="shared" si="4"/>
        <v>42261.04645</v>
      </c>
      <c r="M78" s="28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>
      <c r="A79" s="28"/>
      <c r="B79" s="19">
        <v>41352.0</v>
      </c>
      <c r="C79" s="20">
        <v>12.0</v>
      </c>
      <c r="D79" s="26">
        <v>78.0</v>
      </c>
      <c r="E79" s="34">
        <f t="shared" si="10"/>
        <v>7356.225806</v>
      </c>
      <c r="F79" s="34">
        <f t="shared" si="11"/>
        <v>0.8709677419</v>
      </c>
      <c r="G79" s="35">
        <f t="shared" si="12"/>
        <v>7232.721401</v>
      </c>
      <c r="H79" s="32"/>
      <c r="I79" s="34">
        <f t="shared" si="2"/>
        <v>12</v>
      </c>
      <c r="J79" s="35">
        <f>SUM(G79:G85)</f>
        <v>49980.65168</v>
      </c>
      <c r="K79" s="20">
        <v>49980.65168</v>
      </c>
      <c r="L79" s="34">
        <f t="shared" si="4"/>
        <v>42261.04645</v>
      </c>
      <c r="M79" s="20">
        <v>42261.04645</v>
      </c>
      <c r="N79" s="40">
        <v>13737.90447</v>
      </c>
      <c r="O79" s="40">
        <v>11424.63076</v>
      </c>
      <c r="P79" s="40">
        <v>3062.21081</v>
      </c>
      <c r="Q79" s="40">
        <v>21017.61299</v>
      </c>
      <c r="R79" s="39"/>
      <c r="S79" s="40">
        <v>10930.3786</v>
      </c>
      <c r="T79" s="40">
        <v>9525.695217</v>
      </c>
      <c r="U79" s="40">
        <v>2602.851886</v>
      </c>
      <c r="V79" s="40">
        <v>18690.23796</v>
      </c>
      <c r="W79" s="40">
        <v>2807.525869</v>
      </c>
      <c r="X79" s="40">
        <v>1898.935547</v>
      </c>
      <c r="Y79" s="40">
        <v>459.3589245</v>
      </c>
      <c r="Z79" s="40">
        <v>2327.375028</v>
      </c>
    </row>
    <row r="80">
      <c r="A80" s="28"/>
      <c r="B80" s="19">
        <v>41353.0</v>
      </c>
      <c r="C80" s="20">
        <v>12.0</v>
      </c>
      <c r="D80" s="26">
        <v>79.0</v>
      </c>
      <c r="E80" s="34">
        <f t="shared" si="10"/>
        <v>7356.225806</v>
      </c>
      <c r="F80" s="34">
        <f t="shared" si="11"/>
        <v>0.8387096774</v>
      </c>
      <c r="G80" s="35">
        <f t="shared" si="12"/>
        <v>7201.8453</v>
      </c>
      <c r="H80" s="32"/>
      <c r="I80" s="34">
        <f t="shared" si="2"/>
        <v>12</v>
      </c>
      <c r="J80" s="32"/>
      <c r="K80" s="28"/>
      <c r="L80" s="34">
        <f t="shared" si="4"/>
        <v>42261.04645</v>
      </c>
      <c r="M80" s="28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>
      <c r="A81" s="28"/>
      <c r="B81" s="19">
        <v>41354.0</v>
      </c>
      <c r="C81" s="20">
        <v>12.0</v>
      </c>
      <c r="D81" s="26">
        <v>80.0</v>
      </c>
      <c r="E81" s="34">
        <f t="shared" si="10"/>
        <v>7356.225806</v>
      </c>
      <c r="F81" s="34">
        <f t="shared" si="11"/>
        <v>0.8064516129</v>
      </c>
      <c r="G81" s="35">
        <f t="shared" si="12"/>
        <v>7170.969199</v>
      </c>
      <c r="H81" s="32"/>
      <c r="I81" s="34">
        <f t="shared" si="2"/>
        <v>12</v>
      </c>
      <c r="J81" s="32"/>
      <c r="K81" s="28"/>
      <c r="L81" s="34">
        <f t="shared" si="4"/>
        <v>42261.04645</v>
      </c>
      <c r="M81" s="28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>
      <c r="A82" s="28"/>
      <c r="B82" s="19">
        <v>41355.0</v>
      </c>
      <c r="C82" s="20">
        <v>12.0</v>
      </c>
      <c r="D82" s="26">
        <v>81.0</v>
      </c>
      <c r="E82" s="34">
        <f t="shared" si="10"/>
        <v>7356.225806</v>
      </c>
      <c r="F82" s="34">
        <f t="shared" si="11"/>
        <v>0.7741935484</v>
      </c>
      <c r="G82" s="35">
        <f t="shared" si="12"/>
        <v>7140.093097</v>
      </c>
      <c r="H82" s="32"/>
      <c r="I82" s="34">
        <f t="shared" si="2"/>
        <v>12</v>
      </c>
      <c r="J82" s="32"/>
      <c r="K82" s="28"/>
      <c r="L82" s="34">
        <f t="shared" si="4"/>
        <v>42261.04645</v>
      </c>
      <c r="M82" s="28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>
      <c r="A83" s="28"/>
      <c r="B83" s="19">
        <v>41356.0</v>
      </c>
      <c r="C83" s="20">
        <v>12.0</v>
      </c>
      <c r="D83" s="26">
        <v>82.0</v>
      </c>
      <c r="E83" s="34">
        <f t="shared" si="10"/>
        <v>7356.225806</v>
      </c>
      <c r="F83" s="34">
        <f t="shared" si="11"/>
        <v>0.7419354839</v>
      </c>
      <c r="G83" s="35">
        <f t="shared" si="12"/>
        <v>7109.216996</v>
      </c>
      <c r="H83" s="32"/>
      <c r="I83" s="34">
        <f t="shared" si="2"/>
        <v>12</v>
      </c>
      <c r="J83" s="32"/>
      <c r="K83" s="28"/>
      <c r="L83" s="34">
        <f t="shared" si="4"/>
        <v>42261.04645</v>
      </c>
      <c r="M83" s="28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>
      <c r="A84" s="28"/>
      <c r="B84" s="19">
        <v>41357.0</v>
      </c>
      <c r="C84" s="20">
        <v>12.0</v>
      </c>
      <c r="D84" s="26">
        <v>83.0</v>
      </c>
      <c r="E84" s="34">
        <f t="shared" si="10"/>
        <v>7356.225806</v>
      </c>
      <c r="F84" s="34">
        <f t="shared" si="11"/>
        <v>0.7096774194</v>
      </c>
      <c r="G84" s="35">
        <f t="shared" si="12"/>
        <v>7078.340895</v>
      </c>
      <c r="H84" s="32"/>
      <c r="I84" s="34">
        <f t="shared" si="2"/>
        <v>12</v>
      </c>
      <c r="J84" s="32"/>
      <c r="K84" s="28"/>
      <c r="L84" s="34">
        <f t="shared" si="4"/>
        <v>42261.04645</v>
      </c>
      <c r="M84" s="28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>
      <c r="A85" s="28"/>
      <c r="B85" s="19">
        <v>41358.0</v>
      </c>
      <c r="C85" s="20">
        <v>12.0</v>
      </c>
      <c r="D85" s="26">
        <v>84.0</v>
      </c>
      <c r="E85" s="34">
        <f t="shared" si="10"/>
        <v>7356.225806</v>
      </c>
      <c r="F85" s="34">
        <f t="shared" si="11"/>
        <v>0.6774193548</v>
      </c>
      <c r="G85" s="35">
        <f t="shared" si="12"/>
        <v>7047.464794</v>
      </c>
      <c r="H85" s="32"/>
      <c r="I85" s="34">
        <f t="shared" si="2"/>
        <v>12</v>
      </c>
      <c r="J85" s="32"/>
      <c r="K85" s="28"/>
      <c r="L85" s="34">
        <f t="shared" si="4"/>
        <v>42261.04645</v>
      </c>
      <c r="M85" s="28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>
      <c r="A86" s="28"/>
      <c r="B86" s="19">
        <v>41359.0</v>
      </c>
      <c r="C86" s="20">
        <v>13.0</v>
      </c>
      <c r="D86" s="26">
        <v>85.0</v>
      </c>
      <c r="E86" s="34">
        <f t="shared" si="10"/>
        <v>7356.225806</v>
      </c>
      <c r="F86" s="34">
        <f t="shared" si="11"/>
        <v>0.6451612903</v>
      </c>
      <c r="G86" s="35">
        <f t="shared" si="12"/>
        <v>7016.588692</v>
      </c>
      <c r="H86" s="32"/>
      <c r="I86" s="34">
        <f t="shared" si="2"/>
        <v>13</v>
      </c>
      <c r="J86" s="35">
        <f>SUM(G86:G92)</f>
        <v>48467.72272</v>
      </c>
      <c r="K86" s="20">
        <v>48467.72272</v>
      </c>
      <c r="L86" s="34">
        <f t="shared" si="4"/>
        <v>42261.04645</v>
      </c>
      <c r="M86" s="20">
        <v>42261.04645</v>
      </c>
      <c r="N86" s="40">
        <v>13491.31197</v>
      </c>
      <c r="O86" s="40">
        <v>11348.47875</v>
      </c>
      <c r="P86" s="40">
        <v>2811.447748</v>
      </c>
      <c r="Q86" s="40">
        <v>20236.52952</v>
      </c>
      <c r="R86" s="39"/>
      <c r="S86" s="40">
        <v>11197.45008</v>
      </c>
      <c r="T86" s="40">
        <v>9953.444203</v>
      </c>
      <c r="U86" s="40">
        <v>2579.809056</v>
      </c>
      <c r="V86" s="40">
        <v>18870.4668</v>
      </c>
      <c r="W86" s="40">
        <v>2293.861885</v>
      </c>
      <c r="X86" s="40">
        <v>1395.034549</v>
      </c>
      <c r="Y86" s="40">
        <v>231.6386922</v>
      </c>
      <c r="Z86" s="40">
        <v>1366.062723</v>
      </c>
    </row>
    <row r="87">
      <c r="A87" s="28"/>
      <c r="B87" s="19">
        <v>41360.0</v>
      </c>
      <c r="C87" s="20">
        <v>13.0</v>
      </c>
      <c r="D87" s="26">
        <v>86.0</v>
      </c>
      <c r="E87" s="34">
        <f t="shared" si="10"/>
        <v>7356.225806</v>
      </c>
      <c r="F87" s="34">
        <f t="shared" si="11"/>
        <v>0.6129032258</v>
      </c>
      <c r="G87" s="35">
        <f t="shared" si="12"/>
        <v>6985.712591</v>
      </c>
      <c r="H87" s="32"/>
      <c r="I87" s="34">
        <f t="shared" si="2"/>
        <v>13</v>
      </c>
      <c r="J87" s="32"/>
      <c r="K87" s="28"/>
      <c r="L87" s="34">
        <f t="shared" si="4"/>
        <v>42261.04645</v>
      </c>
      <c r="M87" s="28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>
      <c r="A88" s="28"/>
      <c r="B88" s="19">
        <v>41361.0</v>
      </c>
      <c r="C88" s="20">
        <v>13.0</v>
      </c>
      <c r="D88" s="26">
        <v>87.0</v>
      </c>
      <c r="E88" s="34">
        <f t="shared" si="10"/>
        <v>7356.225806</v>
      </c>
      <c r="F88" s="34">
        <f t="shared" si="11"/>
        <v>0.5806451613</v>
      </c>
      <c r="G88" s="35">
        <f t="shared" si="12"/>
        <v>6954.83649</v>
      </c>
      <c r="H88" s="32"/>
      <c r="I88" s="34">
        <f t="shared" si="2"/>
        <v>13</v>
      </c>
      <c r="J88" s="32"/>
      <c r="K88" s="28"/>
      <c r="L88" s="34">
        <f t="shared" si="4"/>
        <v>42261.04645</v>
      </c>
      <c r="M88" s="28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>
      <c r="A89" s="28"/>
      <c r="B89" s="19">
        <v>41362.0</v>
      </c>
      <c r="C89" s="20">
        <v>13.0</v>
      </c>
      <c r="D89" s="26">
        <v>88.0</v>
      </c>
      <c r="E89" s="34">
        <f t="shared" si="10"/>
        <v>7356.225806</v>
      </c>
      <c r="F89" s="34">
        <f t="shared" si="11"/>
        <v>0.5483870968</v>
      </c>
      <c r="G89" s="35">
        <f t="shared" si="12"/>
        <v>6923.960388</v>
      </c>
      <c r="H89" s="32"/>
      <c r="I89" s="34">
        <f t="shared" si="2"/>
        <v>13</v>
      </c>
      <c r="J89" s="32"/>
      <c r="K89" s="28"/>
      <c r="L89" s="34">
        <f t="shared" si="4"/>
        <v>42261.04645</v>
      </c>
      <c r="M89" s="28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>
      <c r="A90" s="28"/>
      <c r="B90" s="19">
        <v>41363.0</v>
      </c>
      <c r="C90" s="20">
        <v>13.0</v>
      </c>
      <c r="D90" s="26">
        <v>89.0</v>
      </c>
      <c r="E90" s="34">
        <f t="shared" si="10"/>
        <v>7356.225806</v>
      </c>
      <c r="F90" s="34">
        <f t="shared" si="11"/>
        <v>0.5161290323</v>
      </c>
      <c r="G90" s="35">
        <f t="shared" si="12"/>
        <v>6893.084287</v>
      </c>
      <c r="H90" s="32"/>
      <c r="I90" s="34">
        <f t="shared" si="2"/>
        <v>13</v>
      </c>
      <c r="J90" s="32"/>
      <c r="K90" s="28"/>
      <c r="L90" s="34">
        <f t="shared" si="4"/>
        <v>42261.04645</v>
      </c>
      <c r="M90" s="28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>
      <c r="A91" s="28"/>
      <c r="B91" s="19">
        <v>41364.0</v>
      </c>
      <c r="C91" s="20">
        <v>13.0</v>
      </c>
      <c r="D91" s="26">
        <v>90.0</v>
      </c>
      <c r="E91" s="34">
        <f t="shared" si="10"/>
        <v>7356.225806</v>
      </c>
      <c r="F91" s="34">
        <f t="shared" si="11"/>
        <v>0.4838709677</v>
      </c>
      <c r="G91" s="35">
        <f t="shared" si="12"/>
        <v>6862.208186</v>
      </c>
      <c r="H91" s="32"/>
      <c r="I91" s="34">
        <f t="shared" si="2"/>
        <v>13</v>
      </c>
      <c r="J91" s="32"/>
      <c r="K91" s="28"/>
      <c r="L91" s="34">
        <f t="shared" si="4"/>
        <v>42261.04645</v>
      </c>
      <c r="M91" s="28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>
      <c r="A92" s="28"/>
      <c r="B92" s="19">
        <v>41365.0</v>
      </c>
      <c r="C92" s="20">
        <v>13.0</v>
      </c>
      <c r="D92" s="26">
        <v>91.0</v>
      </c>
      <c r="E92" s="34">
        <f>A94/30</f>
        <v>6399.066667</v>
      </c>
      <c r="F92" s="34">
        <f t="shared" si="11"/>
        <v>0.4516129032</v>
      </c>
      <c r="G92" s="35">
        <f t="shared" si="12"/>
        <v>6831.332085</v>
      </c>
      <c r="H92" s="32"/>
      <c r="I92" s="34">
        <f t="shared" si="2"/>
        <v>13</v>
      </c>
      <c r="J92" s="32"/>
      <c r="K92" s="28"/>
      <c r="L92" s="34">
        <f t="shared" si="4"/>
        <v>42261.04645</v>
      </c>
      <c r="M92" s="28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>
      <c r="A93" s="13" t="s">
        <v>67</v>
      </c>
      <c r="B93" s="19">
        <v>41366.0</v>
      </c>
      <c r="C93" s="20">
        <v>14.0</v>
      </c>
      <c r="D93" s="26">
        <v>92.0</v>
      </c>
      <c r="E93" s="34">
        <f>A94/30</f>
        <v>6399.066667</v>
      </c>
      <c r="F93" s="34">
        <f t="shared" si="11"/>
        <v>0.4193548387</v>
      </c>
      <c r="G93" s="35">
        <f t="shared" si="12"/>
        <v>6800.455983</v>
      </c>
      <c r="H93" s="32"/>
      <c r="I93" s="34">
        <f t="shared" si="2"/>
        <v>14</v>
      </c>
      <c r="J93" s="35">
        <f>SUM(G93:G99)</f>
        <v>46954.79376</v>
      </c>
      <c r="K93" s="20">
        <v>46954.79376</v>
      </c>
      <c r="L93" s="34">
        <f t="shared" si="4"/>
        <v>42261.04645</v>
      </c>
      <c r="M93" s="20">
        <v>42261.04645</v>
      </c>
      <c r="N93" s="40">
        <v>12175.43824</v>
      </c>
      <c r="O93" s="40">
        <v>11593.09412</v>
      </c>
      <c r="P93" s="40">
        <v>2916.072385</v>
      </c>
      <c r="Q93" s="40">
        <v>20344.66452</v>
      </c>
      <c r="R93" s="39"/>
      <c r="S93" s="40">
        <v>11075.84568</v>
      </c>
      <c r="T93" s="40">
        <v>10279.95436</v>
      </c>
      <c r="U93" s="40">
        <v>2602.129841</v>
      </c>
      <c r="V93" s="40">
        <v>18838.70996</v>
      </c>
      <c r="W93" s="40">
        <v>1099.592558</v>
      </c>
      <c r="X93" s="40">
        <v>1313.139768</v>
      </c>
      <c r="Y93" s="40">
        <v>313.9425437</v>
      </c>
      <c r="Z93" s="40">
        <v>1505.954559</v>
      </c>
    </row>
    <row r="94">
      <c r="A94" s="20">
        <v>191972.0</v>
      </c>
      <c r="B94" s="19">
        <v>41367.0</v>
      </c>
      <c r="C94" s="20">
        <v>14.0</v>
      </c>
      <c r="D94" s="26">
        <v>93.0</v>
      </c>
      <c r="E94" s="34">
        <f t="shared" ref="E94:E121" si="13">E93</f>
        <v>6399.066667</v>
      </c>
      <c r="F94" s="34">
        <f t="shared" si="11"/>
        <v>0.3870967742</v>
      </c>
      <c r="G94" s="35">
        <f t="shared" si="12"/>
        <v>6769.579882</v>
      </c>
      <c r="H94" s="32"/>
      <c r="I94" s="34">
        <f t="shared" si="2"/>
        <v>14</v>
      </c>
      <c r="J94" s="32"/>
      <c r="K94" s="28"/>
      <c r="L94" s="34">
        <f t="shared" si="4"/>
        <v>42261.04645</v>
      </c>
      <c r="M94" s="28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>
      <c r="A95" s="28"/>
      <c r="B95" s="19">
        <v>41368.0</v>
      </c>
      <c r="C95" s="20">
        <v>14.0</v>
      </c>
      <c r="D95" s="26">
        <v>94.0</v>
      </c>
      <c r="E95" s="34">
        <f t="shared" si="13"/>
        <v>6399.066667</v>
      </c>
      <c r="F95" s="34">
        <f t="shared" si="11"/>
        <v>0.3548387097</v>
      </c>
      <c r="G95" s="35">
        <f t="shared" si="12"/>
        <v>6738.703781</v>
      </c>
      <c r="H95" s="32"/>
      <c r="I95" s="34">
        <f t="shared" si="2"/>
        <v>14</v>
      </c>
      <c r="J95" s="32"/>
      <c r="K95" s="28"/>
      <c r="L95" s="34">
        <f t="shared" si="4"/>
        <v>42261.04645</v>
      </c>
      <c r="M95" s="28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>
      <c r="A96" s="28"/>
      <c r="B96" s="19">
        <v>41369.0</v>
      </c>
      <c r="C96" s="20">
        <v>14.0</v>
      </c>
      <c r="D96" s="26">
        <v>95.0</v>
      </c>
      <c r="E96" s="34">
        <f t="shared" si="13"/>
        <v>6399.066667</v>
      </c>
      <c r="F96" s="34">
        <f t="shared" si="11"/>
        <v>0.3225806452</v>
      </c>
      <c r="G96" s="35">
        <f t="shared" si="12"/>
        <v>6707.82768</v>
      </c>
      <c r="H96" s="32"/>
      <c r="I96" s="34">
        <f t="shared" si="2"/>
        <v>14</v>
      </c>
      <c r="J96" s="32"/>
      <c r="K96" s="28"/>
      <c r="L96" s="34">
        <f t="shared" si="4"/>
        <v>42261.04645</v>
      </c>
      <c r="M96" s="28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>
      <c r="A97" s="28"/>
      <c r="B97" s="19">
        <v>41370.0</v>
      </c>
      <c r="C97" s="20">
        <v>14.0</v>
      </c>
      <c r="D97" s="26">
        <v>96.0</v>
      </c>
      <c r="E97" s="34">
        <f t="shared" si="13"/>
        <v>6399.066667</v>
      </c>
      <c r="F97" s="34">
        <f t="shared" si="11"/>
        <v>0.2903225806</v>
      </c>
      <c r="G97" s="35">
        <f t="shared" si="12"/>
        <v>6676.951578</v>
      </c>
      <c r="H97" s="32"/>
      <c r="I97" s="34">
        <f t="shared" si="2"/>
        <v>14</v>
      </c>
      <c r="J97" s="32"/>
      <c r="K97" s="28"/>
      <c r="L97" s="34">
        <f t="shared" si="4"/>
        <v>42261.04645</v>
      </c>
      <c r="M97" s="28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>
      <c r="A98" s="28"/>
      <c r="B98" s="19">
        <v>41371.0</v>
      </c>
      <c r="C98" s="20">
        <v>14.0</v>
      </c>
      <c r="D98" s="26">
        <v>97.0</v>
      </c>
      <c r="E98" s="34">
        <f t="shared" si="13"/>
        <v>6399.066667</v>
      </c>
      <c r="F98" s="34">
        <f t="shared" si="11"/>
        <v>0.2580645161</v>
      </c>
      <c r="G98" s="35">
        <f t="shared" si="12"/>
        <v>6646.075477</v>
      </c>
      <c r="H98" s="32"/>
      <c r="I98" s="34">
        <f t="shared" si="2"/>
        <v>14</v>
      </c>
      <c r="J98" s="32"/>
      <c r="K98" s="28"/>
      <c r="L98" s="34">
        <f t="shared" si="4"/>
        <v>42261.04645</v>
      </c>
      <c r="M98" s="28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>
      <c r="A99" s="28"/>
      <c r="B99" s="19">
        <v>41372.0</v>
      </c>
      <c r="C99" s="20">
        <v>14.0</v>
      </c>
      <c r="D99" s="26">
        <v>98.0</v>
      </c>
      <c r="E99" s="34">
        <f t="shared" si="13"/>
        <v>6399.066667</v>
      </c>
      <c r="F99" s="34">
        <f t="shared" si="11"/>
        <v>0.2258064516</v>
      </c>
      <c r="G99" s="35">
        <f t="shared" si="12"/>
        <v>6615.199376</v>
      </c>
      <c r="H99" s="32"/>
      <c r="I99" s="34">
        <f t="shared" si="2"/>
        <v>14</v>
      </c>
      <c r="J99" s="32"/>
      <c r="K99" s="28"/>
      <c r="L99" s="34">
        <f t="shared" si="4"/>
        <v>42261.04645</v>
      </c>
      <c r="M99" s="28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>
      <c r="A100" s="28"/>
      <c r="B100" s="19">
        <v>41373.0</v>
      </c>
      <c r="C100" s="20">
        <v>15.0</v>
      </c>
      <c r="D100" s="26">
        <v>99.0</v>
      </c>
      <c r="E100" s="34">
        <f t="shared" si="13"/>
        <v>6399.066667</v>
      </c>
      <c r="F100" s="34">
        <f t="shared" si="11"/>
        <v>0.1935483871</v>
      </c>
      <c r="G100" s="35">
        <f t="shared" si="12"/>
        <v>6584.323274</v>
      </c>
      <c r="H100" s="32"/>
      <c r="I100" s="34">
        <f t="shared" si="2"/>
        <v>15</v>
      </c>
      <c r="J100" s="35">
        <f>SUM(G100:G106)</f>
        <v>45441.86479</v>
      </c>
      <c r="K100" s="20">
        <v>45441.86479</v>
      </c>
      <c r="L100" s="34">
        <f t="shared" si="4"/>
        <v>42261.04645</v>
      </c>
      <c r="M100" s="20">
        <v>42261.04645</v>
      </c>
      <c r="N100" s="40">
        <v>12225.76914</v>
      </c>
      <c r="O100" s="40">
        <v>10776.38951</v>
      </c>
      <c r="P100" s="40">
        <v>2824.028645</v>
      </c>
      <c r="Q100" s="40">
        <v>20120.10688</v>
      </c>
      <c r="R100" s="39"/>
      <c r="S100" s="40">
        <v>11581.28274</v>
      </c>
      <c r="T100" s="40">
        <v>10498.47017</v>
      </c>
      <c r="U100" s="40">
        <v>2673.442643</v>
      </c>
      <c r="V100" s="40">
        <v>17781.0544</v>
      </c>
      <c r="W100" s="40">
        <v>644.4863985</v>
      </c>
      <c r="X100" s="40">
        <v>277.919343</v>
      </c>
      <c r="Y100" s="40">
        <v>150.5860021</v>
      </c>
      <c r="Z100" s="40">
        <v>2339.052474</v>
      </c>
    </row>
    <row r="101">
      <c r="A101" s="28"/>
      <c r="B101" s="19">
        <v>41374.0</v>
      </c>
      <c r="C101" s="20">
        <v>15.0</v>
      </c>
      <c r="D101" s="26">
        <v>100.0</v>
      </c>
      <c r="E101" s="34">
        <f t="shared" si="13"/>
        <v>6399.066667</v>
      </c>
      <c r="F101" s="34">
        <f t="shared" si="11"/>
        <v>0.1612903226</v>
      </c>
      <c r="G101" s="35">
        <f t="shared" si="12"/>
        <v>6553.447173</v>
      </c>
      <c r="H101" s="32"/>
      <c r="I101" s="34">
        <f t="shared" si="2"/>
        <v>15</v>
      </c>
      <c r="J101" s="32"/>
      <c r="K101" s="28"/>
      <c r="L101" s="34">
        <f t="shared" si="4"/>
        <v>42261.04645</v>
      </c>
      <c r="M101" s="28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>
      <c r="A102" s="28"/>
      <c r="B102" s="19">
        <v>41375.0</v>
      </c>
      <c r="C102" s="20">
        <v>15.0</v>
      </c>
      <c r="D102" s="26">
        <v>101.0</v>
      </c>
      <c r="E102" s="34">
        <f t="shared" si="13"/>
        <v>6399.066667</v>
      </c>
      <c r="F102" s="34">
        <f t="shared" si="11"/>
        <v>0.1290322581</v>
      </c>
      <c r="G102" s="35">
        <f t="shared" si="12"/>
        <v>6522.571072</v>
      </c>
      <c r="H102" s="32"/>
      <c r="I102" s="34">
        <f t="shared" si="2"/>
        <v>15</v>
      </c>
      <c r="J102" s="32"/>
      <c r="K102" s="28"/>
      <c r="L102" s="34">
        <f t="shared" si="4"/>
        <v>42261.04645</v>
      </c>
      <c r="M102" s="28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>
      <c r="A103" s="28"/>
      <c r="B103" s="19">
        <v>41376.0</v>
      </c>
      <c r="C103" s="20">
        <v>15.0</v>
      </c>
      <c r="D103" s="26">
        <v>102.0</v>
      </c>
      <c r="E103" s="34">
        <f t="shared" si="13"/>
        <v>6399.066667</v>
      </c>
      <c r="F103" s="34">
        <f t="shared" si="11"/>
        <v>0.09677419355</v>
      </c>
      <c r="G103" s="35">
        <f t="shared" si="12"/>
        <v>6491.694971</v>
      </c>
      <c r="H103" s="32"/>
      <c r="I103" s="34">
        <f t="shared" si="2"/>
        <v>15</v>
      </c>
      <c r="J103" s="32"/>
      <c r="K103" s="28"/>
      <c r="L103" s="34">
        <f t="shared" si="4"/>
        <v>42261.04645</v>
      </c>
      <c r="M103" s="28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>
      <c r="A104" s="28"/>
      <c r="B104" s="19">
        <v>41377.0</v>
      </c>
      <c r="C104" s="20">
        <v>15.0</v>
      </c>
      <c r="D104" s="26">
        <v>103.0</v>
      </c>
      <c r="E104" s="34">
        <f t="shared" si="13"/>
        <v>6399.066667</v>
      </c>
      <c r="F104" s="34">
        <f t="shared" si="11"/>
        <v>0.06451612903</v>
      </c>
      <c r="G104" s="35">
        <f t="shared" si="12"/>
        <v>6460.818869</v>
      </c>
      <c r="H104" s="32"/>
      <c r="I104" s="34">
        <f t="shared" si="2"/>
        <v>15</v>
      </c>
      <c r="J104" s="32"/>
      <c r="K104" s="28"/>
      <c r="L104" s="34">
        <f t="shared" si="4"/>
        <v>42261.04645</v>
      </c>
      <c r="M104" s="28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>
      <c r="A105" s="28"/>
      <c r="B105" s="19">
        <v>41378.0</v>
      </c>
      <c r="C105" s="20">
        <v>15.0</v>
      </c>
      <c r="D105" s="26">
        <v>104.0</v>
      </c>
      <c r="E105" s="34">
        <f t="shared" si="13"/>
        <v>6399.066667</v>
      </c>
      <c r="F105" s="34">
        <f t="shared" si="11"/>
        <v>0.03225806452</v>
      </c>
      <c r="G105" s="35">
        <f t="shared" si="12"/>
        <v>6429.942768</v>
      </c>
      <c r="H105" s="32"/>
      <c r="I105" s="34">
        <f t="shared" si="2"/>
        <v>15</v>
      </c>
      <c r="J105" s="32"/>
      <c r="K105" s="28"/>
      <c r="L105" s="34">
        <f t="shared" si="4"/>
        <v>42261.04645</v>
      </c>
      <c r="M105" s="28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>
      <c r="A106" s="28"/>
      <c r="B106" s="19">
        <v>41379.0</v>
      </c>
      <c r="C106" s="20">
        <v>15.0</v>
      </c>
      <c r="D106" s="26">
        <v>105.0</v>
      </c>
      <c r="E106" s="34">
        <f t="shared" si="13"/>
        <v>6399.066667</v>
      </c>
      <c r="F106" s="34">
        <f t="shared" ref="F106:F136" si="14">abs((D106-135)/(135-105))</f>
        <v>1</v>
      </c>
      <c r="G106" s="35">
        <f>E106</f>
        <v>6399.066667</v>
      </c>
      <c r="H106" s="32"/>
      <c r="I106" s="34">
        <f t="shared" si="2"/>
        <v>15</v>
      </c>
      <c r="J106" s="32"/>
      <c r="K106" s="28"/>
      <c r="L106" s="34">
        <f t="shared" si="4"/>
        <v>42261.04645</v>
      </c>
      <c r="M106" s="28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>
      <c r="A107" s="13"/>
      <c r="B107" s="19">
        <v>41380.0</v>
      </c>
      <c r="C107" s="20">
        <v>16.0</v>
      </c>
      <c r="D107" s="26">
        <v>106.0</v>
      </c>
      <c r="E107" s="34">
        <f t="shared" si="13"/>
        <v>6399.066667</v>
      </c>
      <c r="F107" s="34">
        <f t="shared" si="14"/>
        <v>0.9666666667</v>
      </c>
      <c r="G107" s="35">
        <f t="shared" ref="G107:G136" si="15">E92*F107+(1-F107)*E122</f>
        <v>6413.703154</v>
      </c>
      <c r="H107" s="32"/>
      <c r="I107" s="34">
        <f t="shared" si="2"/>
        <v>16</v>
      </c>
      <c r="J107" s="35">
        <f>SUM(G107:G113)</f>
        <v>45203.28832</v>
      </c>
      <c r="K107" s="20">
        <v>45203.28832</v>
      </c>
      <c r="L107" s="34">
        <f t="shared" si="4"/>
        <v>42261.04645</v>
      </c>
      <c r="M107" s="20">
        <v>42261.04645</v>
      </c>
      <c r="N107" s="40">
        <v>12434.6889</v>
      </c>
      <c r="O107" s="40">
        <v>11196.2619</v>
      </c>
      <c r="P107" s="40">
        <v>2606.073332</v>
      </c>
      <c r="Q107" s="40">
        <v>20027.66016</v>
      </c>
      <c r="R107" s="39"/>
      <c r="S107" s="40">
        <v>11585.90241</v>
      </c>
      <c r="T107" s="40">
        <v>9677.974936</v>
      </c>
      <c r="U107" s="40">
        <v>2516.363579</v>
      </c>
      <c r="V107" s="40">
        <v>18623.34379</v>
      </c>
      <c r="W107" s="40">
        <v>848.786493</v>
      </c>
      <c r="X107" s="40">
        <v>1518.286963</v>
      </c>
      <c r="Y107" s="40">
        <v>89.70975302</v>
      </c>
      <c r="Z107" s="40">
        <v>1404.316374</v>
      </c>
    </row>
    <row r="108">
      <c r="A108" s="13"/>
      <c r="B108" s="19">
        <v>41381.0</v>
      </c>
      <c r="C108" s="20">
        <v>16.0</v>
      </c>
      <c r="D108" s="26">
        <v>107.0</v>
      </c>
      <c r="E108" s="34">
        <f t="shared" si="13"/>
        <v>6399.066667</v>
      </c>
      <c r="F108" s="34">
        <f t="shared" si="14"/>
        <v>0.9333333333</v>
      </c>
      <c r="G108" s="35">
        <f t="shared" si="15"/>
        <v>6428.339642</v>
      </c>
      <c r="H108" s="32"/>
      <c r="I108" s="34">
        <f t="shared" si="2"/>
        <v>16</v>
      </c>
      <c r="J108" s="32"/>
      <c r="K108" s="28"/>
      <c r="L108" s="34">
        <f t="shared" si="4"/>
        <v>42261.04645</v>
      </c>
      <c r="M108" s="28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>
      <c r="A109" s="28"/>
      <c r="B109" s="19">
        <v>41382.0</v>
      </c>
      <c r="C109" s="20">
        <v>16.0</v>
      </c>
      <c r="D109" s="26">
        <v>108.0</v>
      </c>
      <c r="E109" s="34">
        <f t="shared" si="13"/>
        <v>6399.066667</v>
      </c>
      <c r="F109" s="34">
        <f t="shared" si="14"/>
        <v>0.9</v>
      </c>
      <c r="G109" s="35">
        <f t="shared" si="15"/>
        <v>6442.976129</v>
      </c>
      <c r="H109" s="32"/>
      <c r="I109" s="34">
        <f t="shared" si="2"/>
        <v>16</v>
      </c>
      <c r="J109" s="32"/>
      <c r="K109" s="28"/>
      <c r="L109" s="34">
        <f t="shared" si="4"/>
        <v>42261.04645</v>
      </c>
      <c r="M109" s="28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>
      <c r="A110" s="28"/>
      <c r="B110" s="19">
        <v>41383.0</v>
      </c>
      <c r="C110" s="20">
        <v>16.0</v>
      </c>
      <c r="D110" s="26">
        <v>109.0</v>
      </c>
      <c r="E110" s="34">
        <f t="shared" si="13"/>
        <v>6399.066667</v>
      </c>
      <c r="F110" s="34">
        <f t="shared" si="14"/>
        <v>0.8666666667</v>
      </c>
      <c r="G110" s="35">
        <f t="shared" si="15"/>
        <v>6457.612616</v>
      </c>
      <c r="H110" s="32"/>
      <c r="I110" s="34">
        <f t="shared" si="2"/>
        <v>16</v>
      </c>
      <c r="J110" s="32"/>
      <c r="K110" s="28"/>
      <c r="L110" s="34">
        <f t="shared" si="4"/>
        <v>42261.04645</v>
      </c>
      <c r="M110" s="28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>
      <c r="A111" s="28"/>
      <c r="B111" s="19">
        <v>41384.0</v>
      </c>
      <c r="C111" s="20">
        <v>16.0</v>
      </c>
      <c r="D111" s="26">
        <v>110.0</v>
      </c>
      <c r="E111" s="34">
        <f t="shared" si="13"/>
        <v>6399.066667</v>
      </c>
      <c r="F111" s="34">
        <f t="shared" si="14"/>
        <v>0.8333333333</v>
      </c>
      <c r="G111" s="35">
        <f t="shared" si="15"/>
        <v>6472.249104</v>
      </c>
      <c r="H111" s="32"/>
      <c r="I111" s="34">
        <f t="shared" si="2"/>
        <v>16</v>
      </c>
      <c r="J111" s="32"/>
      <c r="K111" s="28"/>
      <c r="L111" s="34">
        <f t="shared" si="4"/>
        <v>42261.04645</v>
      </c>
      <c r="M111" s="28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>
      <c r="A112" s="28"/>
      <c r="B112" s="19">
        <v>41385.0</v>
      </c>
      <c r="C112" s="20">
        <v>16.0</v>
      </c>
      <c r="D112" s="26">
        <v>111.0</v>
      </c>
      <c r="E112" s="34">
        <f t="shared" si="13"/>
        <v>6399.066667</v>
      </c>
      <c r="F112" s="34">
        <f t="shared" si="14"/>
        <v>0.8</v>
      </c>
      <c r="G112" s="35">
        <f t="shared" si="15"/>
        <v>6486.885591</v>
      </c>
      <c r="H112" s="32"/>
      <c r="I112" s="34">
        <f t="shared" si="2"/>
        <v>16</v>
      </c>
      <c r="J112" s="32"/>
      <c r="K112" s="28"/>
      <c r="L112" s="34">
        <f t="shared" si="4"/>
        <v>42261.04645</v>
      </c>
      <c r="M112" s="28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>
      <c r="A113" s="28"/>
      <c r="B113" s="19">
        <v>41386.0</v>
      </c>
      <c r="C113" s="20">
        <v>16.0</v>
      </c>
      <c r="D113" s="26">
        <v>112.0</v>
      </c>
      <c r="E113" s="34">
        <f t="shared" si="13"/>
        <v>6399.066667</v>
      </c>
      <c r="F113" s="34">
        <f t="shared" si="14"/>
        <v>0.7666666667</v>
      </c>
      <c r="G113" s="35">
        <f t="shared" si="15"/>
        <v>6501.522079</v>
      </c>
      <c r="H113" s="32"/>
      <c r="I113" s="34">
        <f t="shared" si="2"/>
        <v>16</v>
      </c>
      <c r="J113" s="32"/>
      <c r="K113" s="28"/>
      <c r="L113" s="34">
        <f t="shared" si="4"/>
        <v>42261.04645</v>
      </c>
      <c r="M113" s="28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>
      <c r="A114" s="28"/>
      <c r="B114" s="19">
        <v>41387.0</v>
      </c>
      <c r="C114" s="20">
        <v>17.0</v>
      </c>
      <c r="D114" s="26">
        <v>113.0</v>
      </c>
      <c r="E114" s="34">
        <f t="shared" si="13"/>
        <v>6399.066667</v>
      </c>
      <c r="F114" s="34">
        <f t="shared" si="14"/>
        <v>0.7333333333</v>
      </c>
      <c r="G114" s="35">
        <f t="shared" si="15"/>
        <v>6516.158566</v>
      </c>
      <c r="H114" s="32"/>
      <c r="I114" s="34">
        <f t="shared" si="2"/>
        <v>17</v>
      </c>
      <c r="J114" s="35">
        <f>SUM(G114:G120)</f>
        <v>45920.4762</v>
      </c>
      <c r="K114" s="20">
        <v>45920.4762</v>
      </c>
      <c r="L114" s="34">
        <f t="shared" si="4"/>
        <v>42261.04645</v>
      </c>
      <c r="M114" s="20">
        <v>42261.04645</v>
      </c>
      <c r="N114" s="40">
        <v>12519.7118</v>
      </c>
      <c r="O114" s="40">
        <v>10667.68298</v>
      </c>
      <c r="P114" s="40">
        <v>2870.165018</v>
      </c>
      <c r="Q114" s="40">
        <v>20684.79348</v>
      </c>
      <c r="R114" s="39"/>
      <c r="S114" s="40">
        <v>11429.13331</v>
      </c>
      <c r="T114" s="40">
        <v>9988.421503</v>
      </c>
      <c r="U114" s="40">
        <v>2512.808062</v>
      </c>
      <c r="V114" s="40">
        <v>18224.69492</v>
      </c>
      <c r="W114" s="40">
        <v>1090.578485</v>
      </c>
      <c r="X114" s="40">
        <v>679.2614771</v>
      </c>
      <c r="Y114" s="40">
        <v>357.3569555</v>
      </c>
      <c r="Z114" s="40">
        <v>2460.098563</v>
      </c>
    </row>
    <row r="115">
      <c r="A115" s="28"/>
      <c r="B115" s="19">
        <v>41388.0</v>
      </c>
      <c r="C115" s="20">
        <v>17.0</v>
      </c>
      <c r="D115" s="26">
        <v>114.0</v>
      </c>
      <c r="E115" s="34">
        <f t="shared" si="13"/>
        <v>6399.066667</v>
      </c>
      <c r="F115" s="34">
        <f t="shared" si="14"/>
        <v>0.7</v>
      </c>
      <c r="G115" s="35">
        <f t="shared" si="15"/>
        <v>6530.795054</v>
      </c>
      <c r="H115" s="32"/>
      <c r="I115" s="34">
        <f t="shared" si="2"/>
        <v>17</v>
      </c>
      <c r="J115" s="32"/>
      <c r="K115" s="28"/>
      <c r="L115" s="34">
        <f t="shared" si="4"/>
        <v>42261.04645</v>
      </c>
      <c r="M115" s="28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>
      <c r="A116" s="28"/>
      <c r="B116" s="19">
        <v>41389.0</v>
      </c>
      <c r="C116" s="20">
        <v>17.0</v>
      </c>
      <c r="D116" s="26">
        <v>115.0</v>
      </c>
      <c r="E116" s="34">
        <f t="shared" si="13"/>
        <v>6399.066667</v>
      </c>
      <c r="F116" s="34">
        <f t="shared" si="14"/>
        <v>0.6666666667</v>
      </c>
      <c r="G116" s="35">
        <f t="shared" si="15"/>
        <v>6545.431541</v>
      </c>
      <c r="H116" s="32"/>
      <c r="I116" s="34">
        <f t="shared" si="2"/>
        <v>17</v>
      </c>
      <c r="J116" s="32"/>
      <c r="K116" s="28"/>
      <c r="L116" s="34">
        <f t="shared" si="4"/>
        <v>42261.04645</v>
      </c>
      <c r="M116" s="28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>
      <c r="A117" s="28"/>
      <c r="B117" s="19">
        <v>41390.0</v>
      </c>
      <c r="C117" s="20">
        <v>17.0</v>
      </c>
      <c r="D117" s="26">
        <v>116.0</v>
      </c>
      <c r="E117" s="34">
        <f t="shared" si="13"/>
        <v>6399.066667</v>
      </c>
      <c r="F117" s="34">
        <f t="shared" si="14"/>
        <v>0.6333333333</v>
      </c>
      <c r="G117" s="35">
        <f t="shared" si="15"/>
        <v>6560.068029</v>
      </c>
      <c r="H117" s="32"/>
      <c r="I117" s="34">
        <f t="shared" si="2"/>
        <v>17</v>
      </c>
      <c r="J117" s="32"/>
      <c r="K117" s="28"/>
      <c r="L117" s="34">
        <f t="shared" si="4"/>
        <v>42261.04645</v>
      </c>
      <c r="M117" s="28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>
      <c r="A118" s="28"/>
      <c r="B118" s="19">
        <v>41391.0</v>
      </c>
      <c r="C118" s="20">
        <v>17.0</v>
      </c>
      <c r="D118" s="26">
        <v>117.0</v>
      </c>
      <c r="E118" s="34">
        <f t="shared" si="13"/>
        <v>6399.066667</v>
      </c>
      <c r="F118" s="34">
        <f t="shared" si="14"/>
        <v>0.6</v>
      </c>
      <c r="G118" s="35">
        <f t="shared" si="15"/>
        <v>6574.704516</v>
      </c>
      <c r="H118" s="32"/>
      <c r="I118" s="34">
        <f t="shared" si="2"/>
        <v>17</v>
      </c>
      <c r="J118" s="32"/>
      <c r="K118" s="28"/>
      <c r="L118" s="34">
        <f t="shared" si="4"/>
        <v>42261.04645</v>
      </c>
      <c r="M118" s="28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>
      <c r="A119" s="28"/>
      <c r="B119" s="19">
        <v>41392.0</v>
      </c>
      <c r="C119" s="20">
        <v>17.0</v>
      </c>
      <c r="D119" s="26">
        <v>118.0</v>
      </c>
      <c r="E119" s="34">
        <f t="shared" si="13"/>
        <v>6399.066667</v>
      </c>
      <c r="F119" s="34">
        <f t="shared" si="14"/>
        <v>0.5666666667</v>
      </c>
      <c r="G119" s="35">
        <f t="shared" si="15"/>
        <v>6589.341004</v>
      </c>
      <c r="H119" s="32"/>
      <c r="I119" s="34">
        <f t="shared" si="2"/>
        <v>17</v>
      </c>
      <c r="J119" s="32"/>
      <c r="K119" s="28"/>
      <c r="L119" s="34">
        <f t="shared" si="4"/>
        <v>42261.04645</v>
      </c>
      <c r="M119" s="28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>
      <c r="A120" s="28"/>
      <c r="B120" s="19">
        <v>41393.0</v>
      </c>
      <c r="C120" s="20">
        <v>17.0</v>
      </c>
      <c r="D120" s="26">
        <v>119.0</v>
      </c>
      <c r="E120" s="34">
        <f t="shared" si="13"/>
        <v>6399.066667</v>
      </c>
      <c r="F120" s="34">
        <f t="shared" si="14"/>
        <v>0.5333333333</v>
      </c>
      <c r="G120" s="35">
        <f t="shared" si="15"/>
        <v>6603.977491</v>
      </c>
      <c r="H120" s="32"/>
      <c r="I120" s="34">
        <f t="shared" si="2"/>
        <v>17</v>
      </c>
      <c r="J120" s="32"/>
      <c r="K120" s="28"/>
      <c r="L120" s="34">
        <f t="shared" si="4"/>
        <v>42261.04645</v>
      </c>
      <c r="M120" s="28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>
      <c r="A121" s="28"/>
      <c r="B121" s="19">
        <v>41394.0</v>
      </c>
      <c r="C121" s="20">
        <v>18.0</v>
      </c>
      <c r="D121" s="26">
        <v>120.0</v>
      </c>
      <c r="E121" s="34">
        <f t="shared" si="13"/>
        <v>6399.066667</v>
      </c>
      <c r="F121" s="34">
        <f t="shared" si="14"/>
        <v>0.5</v>
      </c>
      <c r="G121" s="35">
        <f t="shared" si="15"/>
        <v>6618.613978</v>
      </c>
      <c r="H121" s="32"/>
      <c r="I121" s="34">
        <f t="shared" si="2"/>
        <v>18</v>
      </c>
      <c r="J121" s="35">
        <f>SUM(G121:G127)</f>
        <v>46637.66409</v>
      </c>
      <c r="K121" s="20">
        <v>46637.66409</v>
      </c>
      <c r="L121" s="34">
        <f t="shared" si="4"/>
        <v>42261.04645</v>
      </c>
      <c r="M121" s="20">
        <v>42261.04645</v>
      </c>
      <c r="N121" s="40">
        <v>12468.33822</v>
      </c>
      <c r="O121" s="40">
        <v>10848.78989</v>
      </c>
      <c r="P121" s="40">
        <v>2731.652397</v>
      </c>
      <c r="Q121" s="40">
        <v>19934.73706</v>
      </c>
      <c r="R121" s="39"/>
      <c r="S121" s="40">
        <v>11720.70679</v>
      </c>
      <c r="T121" s="40">
        <v>10081.1347</v>
      </c>
      <c r="U121" s="40">
        <v>2645.897667</v>
      </c>
      <c r="V121" s="40">
        <v>17967.47959</v>
      </c>
      <c r="W121" s="40">
        <v>747.6314271</v>
      </c>
      <c r="X121" s="40">
        <v>767.655195</v>
      </c>
      <c r="Y121" s="40">
        <v>85.75472994</v>
      </c>
      <c r="Z121" s="40">
        <v>1967.25747</v>
      </c>
    </row>
    <row r="122">
      <c r="A122" s="28"/>
      <c r="B122" s="19">
        <v>41395.0</v>
      </c>
      <c r="C122" s="20">
        <v>18.0</v>
      </c>
      <c r="D122" s="26">
        <v>121.0</v>
      </c>
      <c r="E122" s="34">
        <f>A124/31</f>
        <v>6838.16129</v>
      </c>
      <c r="F122" s="34">
        <f t="shared" si="14"/>
        <v>0.4666666667</v>
      </c>
      <c r="G122" s="35">
        <f t="shared" si="15"/>
        <v>6633.250466</v>
      </c>
      <c r="H122" s="32"/>
      <c r="I122" s="34">
        <f t="shared" si="2"/>
        <v>18</v>
      </c>
      <c r="J122" s="32"/>
      <c r="K122" s="28"/>
      <c r="L122" s="34">
        <f t="shared" si="4"/>
        <v>42261.04645</v>
      </c>
      <c r="M122" s="28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>
      <c r="A123" s="13" t="s">
        <v>68</v>
      </c>
      <c r="B123" s="19">
        <v>41396.0</v>
      </c>
      <c r="C123" s="20">
        <v>18.0</v>
      </c>
      <c r="D123" s="26">
        <v>122.0</v>
      </c>
      <c r="E123" s="34">
        <f t="shared" ref="E123:E152" si="16">E122</f>
        <v>6838.16129</v>
      </c>
      <c r="F123" s="34">
        <f t="shared" si="14"/>
        <v>0.4333333333</v>
      </c>
      <c r="G123" s="35">
        <f t="shared" si="15"/>
        <v>6647.886953</v>
      </c>
      <c r="H123" s="32"/>
      <c r="I123" s="34">
        <f t="shared" si="2"/>
        <v>18</v>
      </c>
      <c r="J123" s="32"/>
      <c r="K123" s="28"/>
      <c r="L123" s="34">
        <f t="shared" si="4"/>
        <v>42261.04645</v>
      </c>
      <c r="M123" s="28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>
      <c r="A124" s="20">
        <v>211983.0</v>
      </c>
      <c r="B124" s="19">
        <v>41397.0</v>
      </c>
      <c r="C124" s="20">
        <v>18.0</v>
      </c>
      <c r="D124" s="26">
        <v>123.0</v>
      </c>
      <c r="E124" s="34">
        <f t="shared" si="16"/>
        <v>6838.16129</v>
      </c>
      <c r="F124" s="34">
        <f t="shared" si="14"/>
        <v>0.4</v>
      </c>
      <c r="G124" s="35">
        <f t="shared" si="15"/>
        <v>6662.523441</v>
      </c>
      <c r="H124" s="32"/>
      <c r="I124" s="34">
        <f t="shared" si="2"/>
        <v>18</v>
      </c>
      <c r="J124" s="32"/>
      <c r="K124" s="28"/>
      <c r="L124" s="34">
        <f t="shared" si="4"/>
        <v>42261.04645</v>
      </c>
      <c r="M124" s="28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>
      <c r="A125" s="28"/>
      <c r="B125" s="19">
        <v>41398.0</v>
      </c>
      <c r="C125" s="20">
        <v>18.0</v>
      </c>
      <c r="D125" s="26">
        <v>124.0</v>
      </c>
      <c r="E125" s="34">
        <f t="shared" si="16"/>
        <v>6838.16129</v>
      </c>
      <c r="F125" s="34">
        <f t="shared" si="14"/>
        <v>0.3666666667</v>
      </c>
      <c r="G125" s="35">
        <f t="shared" si="15"/>
        <v>6677.159928</v>
      </c>
      <c r="H125" s="32"/>
      <c r="I125" s="34">
        <f t="shared" si="2"/>
        <v>18</v>
      </c>
      <c r="J125" s="32"/>
      <c r="K125" s="28"/>
      <c r="L125" s="34">
        <f t="shared" si="4"/>
        <v>42261.04645</v>
      </c>
      <c r="M125" s="28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>
      <c r="A126" s="28"/>
      <c r="B126" s="19">
        <v>41399.0</v>
      </c>
      <c r="C126" s="20">
        <v>18.0</v>
      </c>
      <c r="D126" s="26">
        <v>125.0</v>
      </c>
      <c r="E126" s="34">
        <f t="shared" si="16"/>
        <v>6838.16129</v>
      </c>
      <c r="F126" s="34">
        <f t="shared" si="14"/>
        <v>0.3333333333</v>
      </c>
      <c r="G126" s="35">
        <f t="shared" si="15"/>
        <v>6691.796416</v>
      </c>
      <c r="H126" s="32"/>
      <c r="I126" s="34">
        <f t="shared" si="2"/>
        <v>18</v>
      </c>
      <c r="J126" s="32"/>
      <c r="K126" s="28"/>
      <c r="L126" s="34">
        <f t="shared" si="4"/>
        <v>42261.04645</v>
      </c>
      <c r="M126" s="28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>
      <c r="A127" s="28"/>
      <c r="B127" s="19">
        <v>41400.0</v>
      </c>
      <c r="C127" s="20">
        <v>18.0</v>
      </c>
      <c r="D127" s="26">
        <v>126.0</v>
      </c>
      <c r="E127" s="34">
        <f t="shared" si="16"/>
        <v>6838.16129</v>
      </c>
      <c r="F127" s="34">
        <f t="shared" si="14"/>
        <v>0.3</v>
      </c>
      <c r="G127" s="35">
        <f t="shared" si="15"/>
        <v>6706.432903</v>
      </c>
      <c r="H127" s="32"/>
      <c r="I127" s="34">
        <f t="shared" si="2"/>
        <v>18</v>
      </c>
      <c r="J127" s="32"/>
      <c r="K127" s="28"/>
      <c r="L127" s="34">
        <f t="shared" si="4"/>
        <v>42261.04645</v>
      </c>
      <c r="M127" s="28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>
      <c r="A128" s="28"/>
      <c r="B128" s="19">
        <v>41401.0</v>
      </c>
      <c r="C128" s="20">
        <v>19.0</v>
      </c>
      <c r="D128" s="26">
        <v>127.0</v>
      </c>
      <c r="E128" s="34">
        <f t="shared" si="16"/>
        <v>6838.16129</v>
      </c>
      <c r="F128" s="34">
        <f t="shared" si="14"/>
        <v>0.2666666667</v>
      </c>
      <c r="G128" s="35">
        <f t="shared" si="15"/>
        <v>6721.069391</v>
      </c>
      <c r="H128" s="32"/>
      <c r="I128" s="34">
        <f t="shared" si="2"/>
        <v>19</v>
      </c>
      <c r="J128" s="35">
        <f>SUM(G128:G134)</f>
        <v>47354.85197</v>
      </c>
      <c r="K128" s="20">
        <v>47354.85197</v>
      </c>
      <c r="L128" s="34">
        <f t="shared" si="4"/>
        <v>42261.04645</v>
      </c>
      <c r="M128" s="20">
        <v>42261.04645</v>
      </c>
      <c r="N128" s="40">
        <v>12911.41821</v>
      </c>
      <c r="O128" s="40">
        <v>10850.76585</v>
      </c>
      <c r="P128" s="40">
        <v>2787.545588</v>
      </c>
      <c r="Q128" s="40">
        <v>20013.10978</v>
      </c>
      <c r="R128" s="39"/>
      <c r="S128" s="40">
        <v>10965.64914</v>
      </c>
      <c r="T128" s="40">
        <v>9842.895557</v>
      </c>
      <c r="U128" s="40">
        <v>2647.475611</v>
      </c>
      <c r="V128" s="40">
        <v>18776.86146</v>
      </c>
      <c r="W128" s="40">
        <v>1945.769069</v>
      </c>
      <c r="X128" s="40">
        <v>1007.870298</v>
      </c>
      <c r="Y128" s="40">
        <v>140.0699768</v>
      </c>
      <c r="Z128" s="40">
        <v>1236.248316</v>
      </c>
    </row>
    <row r="129">
      <c r="A129" s="28"/>
      <c r="B129" s="19">
        <v>41402.0</v>
      </c>
      <c r="C129" s="20">
        <v>19.0</v>
      </c>
      <c r="D129" s="26">
        <v>128.0</v>
      </c>
      <c r="E129" s="34">
        <f t="shared" si="16"/>
        <v>6838.16129</v>
      </c>
      <c r="F129" s="34">
        <f t="shared" si="14"/>
        <v>0.2333333333</v>
      </c>
      <c r="G129" s="35">
        <f t="shared" si="15"/>
        <v>6735.705878</v>
      </c>
      <c r="H129" s="32"/>
      <c r="I129" s="34">
        <f t="shared" si="2"/>
        <v>19</v>
      </c>
      <c r="J129" s="32"/>
      <c r="K129" s="28"/>
      <c r="L129" s="34">
        <f t="shared" si="4"/>
        <v>42261.04645</v>
      </c>
      <c r="M129" s="28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>
      <c r="A130" s="28"/>
      <c r="B130" s="19">
        <v>41403.0</v>
      </c>
      <c r="C130" s="20">
        <v>19.0</v>
      </c>
      <c r="D130" s="26">
        <v>129.0</v>
      </c>
      <c r="E130" s="34">
        <f t="shared" si="16"/>
        <v>6838.16129</v>
      </c>
      <c r="F130" s="34">
        <f t="shared" si="14"/>
        <v>0.2</v>
      </c>
      <c r="G130" s="35">
        <f t="shared" si="15"/>
        <v>6750.342366</v>
      </c>
      <c r="H130" s="32"/>
      <c r="I130" s="34">
        <f t="shared" si="2"/>
        <v>19</v>
      </c>
      <c r="J130" s="32"/>
      <c r="K130" s="28"/>
      <c r="L130" s="34">
        <f t="shared" si="4"/>
        <v>42261.04645</v>
      </c>
      <c r="M130" s="28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>
      <c r="A131" s="28"/>
      <c r="B131" s="19">
        <v>41404.0</v>
      </c>
      <c r="C131" s="20">
        <v>19.0</v>
      </c>
      <c r="D131" s="26">
        <v>130.0</v>
      </c>
      <c r="E131" s="34">
        <f t="shared" si="16"/>
        <v>6838.16129</v>
      </c>
      <c r="F131" s="34">
        <f t="shared" si="14"/>
        <v>0.1666666667</v>
      </c>
      <c r="G131" s="35">
        <f t="shared" si="15"/>
        <v>6764.978853</v>
      </c>
      <c r="H131" s="32"/>
      <c r="I131" s="34">
        <f t="shared" si="2"/>
        <v>19</v>
      </c>
      <c r="J131" s="32"/>
      <c r="K131" s="28"/>
      <c r="L131" s="34">
        <f t="shared" si="4"/>
        <v>42261.04645</v>
      </c>
      <c r="M131" s="28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>
      <c r="A132" s="28"/>
      <c r="B132" s="19">
        <v>41405.0</v>
      </c>
      <c r="C132" s="20">
        <v>19.0</v>
      </c>
      <c r="D132" s="26">
        <v>131.0</v>
      </c>
      <c r="E132" s="34">
        <f t="shared" si="16"/>
        <v>6838.16129</v>
      </c>
      <c r="F132" s="34">
        <f t="shared" si="14"/>
        <v>0.1333333333</v>
      </c>
      <c r="G132" s="35">
        <f t="shared" si="15"/>
        <v>6779.615341</v>
      </c>
      <c r="H132" s="32"/>
      <c r="I132" s="34">
        <f t="shared" si="2"/>
        <v>19</v>
      </c>
      <c r="J132" s="32"/>
      <c r="K132" s="28"/>
      <c r="L132" s="34">
        <f t="shared" si="4"/>
        <v>42261.04645</v>
      </c>
      <c r="M132" s="28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>
      <c r="A133" s="28"/>
      <c r="B133" s="19">
        <v>41406.0</v>
      </c>
      <c r="C133" s="20">
        <v>19.0</v>
      </c>
      <c r="D133" s="26">
        <v>132.0</v>
      </c>
      <c r="E133" s="34">
        <f t="shared" si="16"/>
        <v>6838.16129</v>
      </c>
      <c r="F133" s="34">
        <f t="shared" si="14"/>
        <v>0.1</v>
      </c>
      <c r="G133" s="35">
        <f t="shared" si="15"/>
        <v>6794.251828</v>
      </c>
      <c r="H133" s="32"/>
      <c r="I133" s="34">
        <f t="shared" si="2"/>
        <v>19</v>
      </c>
      <c r="J133" s="32"/>
      <c r="K133" s="28"/>
      <c r="L133" s="34">
        <f t="shared" si="4"/>
        <v>42261.04645</v>
      </c>
      <c r="M133" s="28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>
      <c r="A134" s="28"/>
      <c r="B134" s="19">
        <v>41407.0</v>
      </c>
      <c r="C134" s="20">
        <v>19.0</v>
      </c>
      <c r="D134" s="26">
        <v>133.0</v>
      </c>
      <c r="E134" s="34">
        <f t="shared" si="16"/>
        <v>6838.16129</v>
      </c>
      <c r="F134" s="34">
        <f t="shared" si="14"/>
        <v>0.06666666667</v>
      </c>
      <c r="G134" s="35">
        <f t="shared" si="15"/>
        <v>6808.888315</v>
      </c>
      <c r="H134" s="32"/>
      <c r="I134" s="34">
        <f t="shared" si="2"/>
        <v>19</v>
      </c>
      <c r="J134" s="32"/>
      <c r="K134" s="28"/>
      <c r="L134" s="34">
        <f t="shared" si="4"/>
        <v>42261.04645</v>
      </c>
      <c r="M134" s="28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>
      <c r="A135" s="28"/>
      <c r="B135" s="19">
        <v>41408.0</v>
      </c>
      <c r="C135" s="20">
        <v>20.0</v>
      </c>
      <c r="D135" s="26">
        <v>134.0</v>
      </c>
      <c r="E135" s="34">
        <f t="shared" si="16"/>
        <v>6838.16129</v>
      </c>
      <c r="F135" s="34">
        <f t="shared" si="14"/>
        <v>0.03333333333</v>
      </c>
      <c r="G135" s="35">
        <f t="shared" si="15"/>
        <v>6823.524803</v>
      </c>
      <c r="H135" s="32"/>
      <c r="I135" s="34">
        <f t="shared" si="2"/>
        <v>20</v>
      </c>
      <c r="J135" s="35">
        <f>SUM(G135:G141)</f>
        <v>48051.15644</v>
      </c>
      <c r="K135" s="20">
        <v>48051.15644</v>
      </c>
      <c r="L135" s="34">
        <f t="shared" si="4"/>
        <v>42261.04645</v>
      </c>
      <c r="M135" s="20">
        <v>42261.04645</v>
      </c>
      <c r="N135" s="40">
        <v>13302.07133</v>
      </c>
      <c r="O135" s="40">
        <v>10923.10014</v>
      </c>
      <c r="P135" s="40">
        <v>2807.970486</v>
      </c>
      <c r="Q135" s="40">
        <v>20884.16598</v>
      </c>
      <c r="R135" s="39"/>
      <c r="S135" s="40">
        <v>11135.78876</v>
      </c>
      <c r="T135" s="40">
        <v>10227.66782</v>
      </c>
      <c r="U135" s="40">
        <v>2600.055541</v>
      </c>
      <c r="V135" s="40">
        <v>17834.75906</v>
      </c>
      <c r="W135" s="40">
        <v>2166.282576</v>
      </c>
      <c r="X135" s="40">
        <v>695.4323165</v>
      </c>
      <c r="Y135" s="40">
        <v>207.914945</v>
      </c>
      <c r="Z135" s="40">
        <v>3049.406928</v>
      </c>
    </row>
    <row r="136">
      <c r="A136" s="28"/>
      <c r="B136" s="19">
        <v>41409.0</v>
      </c>
      <c r="C136" s="20">
        <v>20.0</v>
      </c>
      <c r="D136" s="26">
        <v>135.0</v>
      </c>
      <c r="E136" s="34">
        <f t="shared" si="16"/>
        <v>6838.16129</v>
      </c>
      <c r="F136" s="34">
        <f t="shared" si="14"/>
        <v>0</v>
      </c>
      <c r="G136" s="35">
        <f t="shared" si="15"/>
        <v>6838.16129</v>
      </c>
      <c r="H136" s="32"/>
      <c r="I136" s="34">
        <f t="shared" si="2"/>
        <v>20</v>
      </c>
      <c r="J136" s="32"/>
      <c r="K136" s="28"/>
      <c r="L136" s="34">
        <f t="shared" si="4"/>
        <v>42261.04645</v>
      </c>
      <c r="M136" s="28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>
      <c r="A137" s="13"/>
      <c r="B137" s="19">
        <v>41410.0</v>
      </c>
      <c r="C137" s="20">
        <v>20.0</v>
      </c>
      <c r="D137" s="26">
        <v>136.0</v>
      </c>
      <c r="E137" s="34">
        <f t="shared" si="16"/>
        <v>6838.16129</v>
      </c>
      <c r="F137" s="34">
        <f t="shared" ref="F137:F167" si="17">abs((D137-166)/(135-166))</f>
        <v>0.9677419355</v>
      </c>
      <c r="G137" s="35">
        <f t="shared" ref="G137:G166" si="18">E122*F137+(1-F137)*E153</f>
        <v>6851.40555</v>
      </c>
      <c r="H137" s="32"/>
      <c r="I137" s="34">
        <f t="shared" si="2"/>
        <v>20</v>
      </c>
      <c r="J137" s="32"/>
      <c r="K137" s="28"/>
      <c r="L137" s="34">
        <f t="shared" si="4"/>
        <v>42261.04645</v>
      </c>
      <c r="M137" s="28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>
      <c r="A138" s="13"/>
      <c r="B138" s="19">
        <v>41411.0</v>
      </c>
      <c r="C138" s="20">
        <v>20.0</v>
      </c>
      <c r="D138" s="26">
        <v>137.0</v>
      </c>
      <c r="E138" s="34">
        <f t="shared" si="16"/>
        <v>6838.16129</v>
      </c>
      <c r="F138" s="34">
        <f t="shared" si="17"/>
        <v>0.935483871</v>
      </c>
      <c r="G138" s="35">
        <f t="shared" si="18"/>
        <v>6864.649809</v>
      </c>
      <c r="H138" s="32"/>
      <c r="I138" s="34">
        <f t="shared" si="2"/>
        <v>20</v>
      </c>
      <c r="J138" s="32"/>
      <c r="K138" s="28"/>
      <c r="L138" s="34">
        <f t="shared" si="4"/>
        <v>42261.04645</v>
      </c>
      <c r="M138" s="28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>
      <c r="A139" s="28"/>
      <c r="B139" s="19">
        <v>41412.0</v>
      </c>
      <c r="C139" s="20">
        <v>20.0</v>
      </c>
      <c r="D139" s="26">
        <v>138.0</v>
      </c>
      <c r="E139" s="34">
        <f t="shared" si="16"/>
        <v>6838.16129</v>
      </c>
      <c r="F139" s="34">
        <f t="shared" si="17"/>
        <v>0.9032258065</v>
      </c>
      <c r="G139" s="35">
        <f t="shared" si="18"/>
        <v>6877.894069</v>
      </c>
      <c r="H139" s="32"/>
      <c r="I139" s="34">
        <f t="shared" si="2"/>
        <v>20</v>
      </c>
      <c r="J139" s="32"/>
      <c r="K139" s="28"/>
      <c r="L139" s="34">
        <f t="shared" si="4"/>
        <v>42261.04645</v>
      </c>
      <c r="M139" s="28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>
      <c r="A140" s="28"/>
      <c r="B140" s="19">
        <v>41413.0</v>
      </c>
      <c r="C140" s="20">
        <v>20.0</v>
      </c>
      <c r="D140" s="26">
        <v>139.0</v>
      </c>
      <c r="E140" s="34">
        <f t="shared" si="16"/>
        <v>6838.16129</v>
      </c>
      <c r="F140" s="34">
        <f t="shared" si="17"/>
        <v>0.8709677419</v>
      </c>
      <c r="G140" s="35">
        <f t="shared" si="18"/>
        <v>6891.138328</v>
      </c>
      <c r="H140" s="32"/>
      <c r="I140" s="34">
        <f t="shared" si="2"/>
        <v>20</v>
      </c>
      <c r="J140" s="32"/>
      <c r="K140" s="28"/>
      <c r="L140" s="34">
        <f t="shared" si="4"/>
        <v>42261.04645</v>
      </c>
      <c r="M140" s="28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>
      <c r="A141" s="28"/>
      <c r="B141" s="19">
        <v>41414.0</v>
      </c>
      <c r="C141" s="20">
        <v>20.0</v>
      </c>
      <c r="D141" s="26">
        <v>140.0</v>
      </c>
      <c r="E141" s="34">
        <f t="shared" si="16"/>
        <v>6838.16129</v>
      </c>
      <c r="F141" s="34">
        <f t="shared" si="17"/>
        <v>0.8387096774</v>
      </c>
      <c r="G141" s="35">
        <f t="shared" si="18"/>
        <v>6904.382588</v>
      </c>
      <c r="H141" s="32"/>
      <c r="I141" s="34">
        <f t="shared" si="2"/>
        <v>20</v>
      </c>
      <c r="J141" s="32"/>
      <c r="K141" s="28"/>
      <c r="L141" s="34">
        <f t="shared" si="4"/>
        <v>42261.04645</v>
      </c>
      <c r="M141" s="28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>
      <c r="A142" s="28"/>
      <c r="B142" s="19">
        <v>41415.0</v>
      </c>
      <c r="C142" s="20">
        <v>21.0</v>
      </c>
      <c r="D142" s="26">
        <v>141.0</v>
      </c>
      <c r="E142" s="34">
        <f t="shared" si="16"/>
        <v>6838.16129</v>
      </c>
      <c r="F142" s="34">
        <f t="shared" si="17"/>
        <v>0.8064516129</v>
      </c>
      <c r="G142" s="35">
        <f t="shared" si="18"/>
        <v>6917.626847</v>
      </c>
      <c r="H142" s="32"/>
      <c r="I142" s="34">
        <f t="shared" si="2"/>
        <v>21</v>
      </c>
      <c r="J142" s="35">
        <f>SUM(G142:G148)</f>
        <v>48701.51738</v>
      </c>
      <c r="K142" s="20">
        <v>48701.51738</v>
      </c>
      <c r="L142" s="34">
        <f t="shared" si="4"/>
        <v>42261.04645</v>
      </c>
      <c r="M142" s="20">
        <v>42261.04645</v>
      </c>
      <c r="N142" s="40">
        <v>13440.81183</v>
      </c>
      <c r="O142" s="40">
        <v>11123.35723</v>
      </c>
      <c r="P142" s="40">
        <v>2930.416013</v>
      </c>
      <c r="Q142" s="40">
        <v>22072.59367</v>
      </c>
      <c r="R142" s="39"/>
      <c r="S142" s="40">
        <v>11437.84826</v>
      </c>
      <c r="T142" s="40">
        <v>9591.954949</v>
      </c>
      <c r="U142" s="40">
        <v>2657.621899</v>
      </c>
      <c r="V142" s="40">
        <v>17794.86486</v>
      </c>
      <c r="W142" s="40">
        <v>2002.963574</v>
      </c>
      <c r="X142" s="40">
        <v>1531.402284</v>
      </c>
      <c r="Y142" s="40">
        <v>272.7941138</v>
      </c>
      <c r="Z142" s="40">
        <v>4277.7288</v>
      </c>
    </row>
    <row r="143">
      <c r="A143" s="28"/>
      <c r="B143" s="19">
        <v>41416.0</v>
      </c>
      <c r="C143" s="20">
        <v>21.0</v>
      </c>
      <c r="D143" s="26">
        <v>142.0</v>
      </c>
      <c r="E143" s="34">
        <f t="shared" si="16"/>
        <v>6838.16129</v>
      </c>
      <c r="F143" s="34">
        <f t="shared" si="17"/>
        <v>0.7741935484</v>
      </c>
      <c r="G143" s="35">
        <f t="shared" si="18"/>
        <v>6930.871106</v>
      </c>
      <c r="H143" s="32"/>
      <c r="I143" s="34">
        <f t="shared" si="2"/>
        <v>21</v>
      </c>
      <c r="J143" s="32"/>
      <c r="K143" s="28"/>
      <c r="L143" s="34">
        <f t="shared" si="4"/>
        <v>42261.04645</v>
      </c>
      <c r="M143" s="28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>
      <c r="A144" s="28"/>
      <c r="B144" s="19">
        <v>41417.0</v>
      </c>
      <c r="C144" s="20">
        <v>21.0</v>
      </c>
      <c r="D144" s="26">
        <v>143.0</v>
      </c>
      <c r="E144" s="34">
        <f t="shared" si="16"/>
        <v>6838.16129</v>
      </c>
      <c r="F144" s="34">
        <f t="shared" si="17"/>
        <v>0.7419354839</v>
      </c>
      <c r="G144" s="35">
        <f t="shared" si="18"/>
        <v>6944.115366</v>
      </c>
      <c r="H144" s="32"/>
      <c r="I144" s="34">
        <f t="shared" si="2"/>
        <v>21</v>
      </c>
      <c r="J144" s="32"/>
      <c r="K144" s="28"/>
      <c r="L144" s="34">
        <f t="shared" si="4"/>
        <v>42261.04645</v>
      </c>
      <c r="M144" s="28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>
      <c r="A145" s="28"/>
      <c r="B145" s="19">
        <v>41418.0</v>
      </c>
      <c r="C145" s="20">
        <v>21.0</v>
      </c>
      <c r="D145" s="26">
        <v>144.0</v>
      </c>
      <c r="E145" s="34">
        <f t="shared" si="16"/>
        <v>6838.16129</v>
      </c>
      <c r="F145" s="34">
        <f t="shared" si="17"/>
        <v>0.7096774194</v>
      </c>
      <c r="G145" s="35">
        <f t="shared" si="18"/>
        <v>6957.359625</v>
      </c>
      <c r="H145" s="32"/>
      <c r="I145" s="34">
        <f t="shared" si="2"/>
        <v>21</v>
      </c>
      <c r="J145" s="32"/>
      <c r="K145" s="28"/>
      <c r="L145" s="34">
        <f t="shared" si="4"/>
        <v>42261.04645</v>
      </c>
      <c r="M145" s="28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>
      <c r="A146" s="28"/>
      <c r="B146" s="19">
        <v>41419.0</v>
      </c>
      <c r="C146" s="20">
        <v>21.0</v>
      </c>
      <c r="D146" s="26">
        <v>145.0</v>
      </c>
      <c r="E146" s="34">
        <f t="shared" si="16"/>
        <v>6838.16129</v>
      </c>
      <c r="F146" s="34">
        <f t="shared" si="17"/>
        <v>0.6774193548</v>
      </c>
      <c r="G146" s="35">
        <f t="shared" si="18"/>
        <v>6970.603885</v>
      </c>
      <c r="H146" s="32"/>
      <c r="I146" s="34">
        <f t="shared" si="2"/>
        <v>21</v>
      </c>
      <c r="J146" s="32"/>
      <c r="K146" s="28"/>
      <c r="L146" s="34">
        <f t="shared" si="4"/>
        <v>42261.04645</v>
      </c>
      <c r="M146" s="28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>
      <c r="A147" s="28"/>
      <c r="B147" s="19">
        <v>41420.0</v>
      </c>
      <c r="C147" s="20">
        <v>21.0</v>
      </c>
      <c r="D147" s="26">
        <v>146.0</v>
      </c>
      <c r="E147" s="34">
        <f t="shared" si="16"/>
        <v>6838.16129</v>
      </c>
      <c r="F147" s="34">
        <f t="shared" si="17"/>
        <v>0.6451612903</v>
      </c>
      <c r="G147" s="35">
        <f t="shared" si="18"/>
        <v>6983.848144</v>
      </c>
      <c r="H147" s="32"/>
      <c r="I147" s="34">
        <f t="shared" si="2"/>
        <v>21</v>
      </c>
      <c r="J147" s="32"/>
      <c r="K147" s="28"/>
      <c r="L147" s="34">
        <f t="shared" si="4"/>
        <v>42261.04645</v>
      </c>
      <c r="M147" s="28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>
      <c r="A148" s="28"/>
      <c r="B148" s="19">
        <v>41421.0</v>
      </c>
      <c r="C148" s="20">
        <v>21.0</v>
      </c>
      <c r="D148" s="26">
        <v>147.0</v>
      </c>
      <c r="E148" s="34">
        <f t="shared" si="16"/>
        <v>6838.16129</v>
      </c>
      <c r="F148" s="34">
        <f t="shared" si="17"/>
        <v>0.6129032258</v>
      </c>
      <c r="G148" s="35">
        <f t="shared" si="18"/>
        <v>6997.092404</v>
      </c>
      <c r="H148" s="32"/>
      <c r="I148" s="34">
        <f t="shared" si="2"/>
        <v>21</v>
      </c>
      <c r="J148" s="32"/>
      <c r="K148" s="28"/>
      <c r="L148" s="34">
        <f t="shared" si="4"/>
        <v>42261.04645</v>
      </c>
      <c r="M148" s="28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>
      <c r="A149" s="28"/>
      <c r="B149" s="19">
        <v>41422.0</v>
      </c>
      <c r="C149" s="20">
        <v>22.0</v>
      </c>
      <c r="D149" s="26">
        <v>148.0</v>
      </c>
      <c r="E149" s="34">
        <f t="shared" si="16"/>
        <v>6838.16129</v>
      </c>
      <c r="F149" s="34">
        <f t="shared" si="17"/>
        <v>0.5806451613</v>
      </c>
      <c r="G149" s="35">
        <f t="shared" si="18"/>
        <v>7010.336663</v>
      </c>
      <c r="H149" s="32"/>
      <c r="I149" s="34">
        <f t="shared" si="2"/>
        <v>22</v>
      </c>
      <c r="J149" s="35">
        <f>SUM(G149:G155)</f>
        <v>49350.48609</v>
      </c>
      <c r="K149" s="20">
        <v>49350.48609</v>
      </c>
      <c r="L149" s="34">
        <f t="shared" si="4"/>
        <v>42261.04645</v>
      </c>
      <c r="M149" s="20">
        <v>42261.04645</v>
      </c>
      <c r="N149" s="40">
        <v>13338.60416</v>
      </c>
      <c r="O149" s="40">
        <v>11889.68178</v>
      </c>
      <c r="P149" s="40">
        <v>2917.376215</v>
      </c>
      <c r="Q149" s="40">
        <v>21840.52341</v>
      </c>
      <c r="R149" s="39"/>
      <c r="S149" s="40">
        <v>11470.96094</v>
      </c>
      <c r="T149" s="40">
        <v>9929.695005</v>
      </c>
      <c r="U149" s="40">
        <v>2592.946932</v>
      </c>
      <c r="V149" s="40">
        <v>18962.81689</v>
      </c>
      <c r="W149" s="40">
        <v>1867.64322</v>
      </c>
      <c r="X149" s="40">
        <v>1959.986775</v>
      </c>
      <c r="Y149" s="40">
        <v>324.4292826</v>
      </c>
      <c r="Z149" s="40">
        <v>2877.706522</v>
      </c>
    </row>
    <row r="150">
      <c r="A150" s="28"/>
      <c r="B150" s="19">
        <v>41423.0</v>
      </c>
      <c r="C150" s="20">
        <v>22.0</v>
      </c>
      <c r="D150" s="26">
        <v>149.0</v>
      </c>
      <c r="E150" s="34">
        <f t="shared" si="16"/>
        <v>6838.16129</v>
      </c>
      <c r="F150" s="34">
        <f t="shared" si="17"/>
        <v>0.5483870968</v>
      </c>
      <c r="G150" s="35">
        <f t="shared" si="18"/>
        <v>7023.580923</v>
      </c>
      <c r="H150" s="32"/>
      <c r="I150" s="34">
        <f t="shared" si="2"/>
        <v>22</v>
      </c>
      <c r="J150" s="32"/>
      <c r="K150" s="28"/>
      <c r="L150" s="34">
        <f t="shared" si="4"/>
        <v>42261.04645</v>
      </c>
      <c r="M150" s="28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>
      <c r="A151" s="28"/>
      <c r="B151" s="19">
        <v>41424.0</v>
      </c>
      <c r="C151" s="20">
        <v>22.0</v>
      </c>
      <c r="D151" s="26">
        <v>150.0</v>
      </c>
      <c r="E151" s="34">
        <f t="shared" si="16"/>
        <v>6838.16129</v>
      </c>
      <c r="F151" s="34">
        <f t="shared" si="17"/>
        <v>0.5161290323</v>
      </c>
      <c r="G151" s="35">
        <f t="shared" si="18"/>
        <v>7036.825182</v>
      </c>
      <c r="H151" s="32"/>
      <c r="I151" s="34">
        <f t="shared" si="2"/>
        <v>22</v>
      </c>
      <c r="J151" s="32"/>
      <c r="K151" s="28"/>
      <c r="L151" s="34">
        <f t="shared" si="4"/>
        <v>42261.04645</v>
      </c>
      <c r="M151" s="28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>
      <c r="A152" s="28"/>
      <c r="B152" s="19">
        <v>41425.0</v>
      </c>
      <c r="C152" s="20">
        <v>22.0</v>
      </c>
      <c r="D152" s="26">
        <v>151.0</v>
      </c>
      <c r="E152" s="34">
        <f t="shared" si="16"/>
        <v>6838.16129</v>
      </c>
      <c r="F152" s="34">
        <f t="shared" si="17"/>
        <v>0.4838709677</v>
      </c>
      <c r="G152" s="35">
        <f t="shared" si="18"/>
        <v>7050.069442</v>
      </c>
      <c r="H152" s="32"/>
      <c r="I152" s="34">
        <f t="shared" si="2"/>
        <v>22</v>
      </c>
      <c r="J152" s="32"/>
      <c r="K152" s="28"/>
      <c r="L152" s="34">
        <f t="shared" si="4"/>
        <v>42261.04645</v>
      </c>
      <c r="M152" s="28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>
      <c r="A153" s="28"/>
      <c r="B153" s="19">
        <v>41426.0</v>
      </c>
      <c r="C153" s="20">
        <v>22.0</v>
      </c>
      <c r="D153" s="26">
        <v>152.0</v>
      </c>
      <c r="E153" s="34">
        <f>A155/30</f>
        <v>7248.733333</v>
      </c>
      <c r="F153" s="34">
        <f t="shared" si="17"/>
        <v>0.4516129032</v>
      </c>
      <c r="G153" s="35">
        <f t="shared" si="18"/>
        <v>7063.313701</v>
      </c>
      <c r="H153" s="32"/>
      <c r="I153" s="34">
        <f t="shared" si="2"/>
        <v>22</v>
      </c>
      <c r="J153" s="32"/>
      <c r="K153" s="28"/>
      <c r="L153" s="34">
        <f t="shared" si="4"/>
        <v>42261.04645</v>
      </c>
      <c r="M153" s="28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>
      <c r="A154" s="13" t="s">
        <v>69</v>
      </c>
      <c r="B154" s="19">
        <v>41427.0</v>
      </c>
      <c r="C154" s="20">
        <v>22.0</v>
      </c>
      <c r="D154" s="26">
        <v>153.0</v>
      </c>
      <c r="E154" s="34">
        <f>A155/30</f>
        <v>7248.733333</v>
      </c>
      <c r="F154" s="34">
        <f t="shared" si="17"/>
        <v>0.4193548387</v>
      </c>
      <c r="G154" s="35">
        <f t="shared" si="18"/>
        <v>7076.55796</v>
      </c>
      <c r="H154" s="32"/>
      <c r="I154" s="34">
        <f t="shared" si="2"/>
        <v>22</v>
      </c>
      <c r="J154" s="32"/>
      <c r="K154" s="28"/>
      <c r="L154" s="34">
        <f t="shared" si="4"/>
        <v>42261.04645</v>
      </c>
      <c r="M154" s="28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>
      <c r="A155" s="20">
        <v>217462.0</v>
      </c>
      <c r="B155" s="19">
        <v>41428.0</v>
      </c>
      <c r="C155" s="20">
        <v>22.0</v>
      </c>
      <c r="D155" s="26">
        <v>154.0</v>
      </c>
      <c r="E155" s="34">
        <f t="shared" ref="E155:E182" si="19">E154</f>
        <v>7248.733333</v>
      </c>
      <c r="F155" s="34">
        <f t="shared" si="17"/>
        <v>0.3870967742</v>
      </c>
      <c r="G155" s="35">
        <f t="shared" si="18"/>
        <v>7089.80222</v>
      </c>
      <c r="H155" s="32"/>
      <c r="I155" s="34">
        <f t="shared" si="2"/>
        <v>22</v>
      </c>
      <c r="J155" s="32"/>
      <c r="K155" s="28"/>
      <c r="L155" s="34">
        <f t="shared" si="4"/>
        <v>42261.04645</v>
      </c>
      <c r="M155" s="28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>
      <c r="A156" s="28"/>
      <c r="B156" s="19">
        <v>41429.0</v>
      </c>
      <c r="C156" s="20">
        <v>23.0</v>
      </c>
      <c r="D156" s="26">
        <v>155.0</v>
      </c>
      <c r="E156" s="34">
        <f t="shared" si="19"/>
        <v>7248.733333</v>
      </c>
      <c r="F156" s="34">
        <f t="shared" si="17"/>
        <v>0.3548387097</v>
      </c>
      <c r="G156" s="35">
        <f t="shared" si="18"/>
        <v>7103.046479</v>
      </c>
      <c r="H156" s="32"/>
      <c r="I156" s="34">
        <f t="shared" si="2"/>
        <v>23</v>
      </c>
      <c r="J156" s="35">
        <f>SUM(G156:G162)</f>
        <v>49999.4548</v>
      </c>
      <c r="K156" s="20">
        <v>49999.4548</v>
      </c>
      <c r="L156" s="34">
        <f t="shared" si="4"/>
        <v>42261.04645</v>
      </c>
      <c r="M156" s="20">
        <v>42261.04645</v>
      </c>
      <c r="N156" s="40">
        <v>13653.74794</v>
      </c>
      <c r="O156" s="40">
        <v>12031.69096</v>
      </c>
      <c r="P156" s="40">
        <v>2913.656743</v>
      </c>
      <c r="Q156" s="40">
        <v>22720.99353</v>
      </c>
      <c r="R156" s="39"/>
      <c r="S156" s="40">
        <v>11320.63508</v>
      </c>
      <c r="T156" s="40">
        <v>10457.05687</v>
      </c>
      <c r="U156" s="40">
        <v>2647.116572</v>
      </c>
      <c r="V156" s="40">
        <v>18554.0802</v>
      </c>
      <c r="W156" s="40">
        <v>2333.112861</v>
      </c>
      <c r="X156" s="40">
        <v>1574.634092</v>
      </c>
      <c r="Y156" s="40">
        <v>266.5401704</v>
      </c>
      <c r="Z156" s="40">
        <v>4166.913336</v>
      </c>
    </row>
    <row r="157">
      <c r="A157" s="28"/>
      <c r="B157" s="19">
        <v>41430.0</v>
      </c>
      <c r="C157" s="20">
        <v>23.0</v>
      </c>
      <c r="D157" s="26">
        <v>156.0</v>
      </c>
      <c r="E157" s="34">
        <f t="shared" si="19"/>
        <v>7248.733333</v>
      </c>
      <c r="F157" s="34">
        <f t="shared" si="17"/>
        <v>0.3225806452</v>
      </c>
      <c r="G157" s="35">
        <f t="shared" si="18"/>
        <v>7116.290739</v>
      </c>
      <c r="H157" s="32"/>
      <c r="I157" s="34">
        <f t="shared" si="2"/>
        <v>23</v>
      </c>
      <c r="J157" s="32"/>
      <c r="K157" s="28"/>
      <c r="L157" s="34">
        <f t="shared" si="4"/>
        <v>42261.04645</v>
      </c>
      <c r="M157" s="28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>
      <c r="A158" s="28"/>
      <c r="B158" s="19">
        <v>41431.0</v>
      </c>
      <c r="C158" s="20">
        <v>23.0</v>
      </c>
      <c r="D158" s="26">
        <v>157.0</v>
      </c>
      <c r="E158" s="34">
        <f t="shared" si="19"/>
        <v>7248.733333</v>
      </c>
      <c r="F158" s="34">
        <f t="shared" si="17"/>
        <v>0.2903225806</v>
      </c>
      <c r="G158" s="35">
        <f t="shared" si="18"/>
        <v>7129.534998</v>
      </c>
      <c r="H158" s="32"/>
      <c r="I158" s="34">
        <f t="shared" si="2"/>
        <v>23</v>
      </c>
      <c r="J158" s="32"/>
      <c r="K158" s="28"/>
      <c r="L158" s="34">
        <f t="shared" si="4"/>
        <v>42261.04645</v>
      </c>
      <c r="M158" s="28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>
      <c r="A159" s="28"/>
      <c r="B159" s="19">
        <v>41432.0</v>
      </c>
      <c r="C159" s="20">
        <v>23.0</v>
      </c>
      <c r="D159" s="26">
        <v>158.0</v>
      </c>
      <c r="E159" s="34">
        <f t="shared" si="19"/>
        <v>7248.733333</v>
      </c>
      <c r="F159" s="34">
        <f t="shared" si="17"/>
        <v>0.2580645161</v>
      </c>
      <c r="G159" s="35">
        <f t="shared" si="18"/>
        <v>7142.779258</v>
      </c>
      <c r="H159" s="32"/>
      <c r="I159" s="34">
        <f t="shared" si="2"/>
        <v>23</v>
      </c>
      <c r="J159" s="32"/>
      <c r="K159" s="28"/>
      <c r="L159" s="34">
        <f t="shared" si="4"/>
        <v>42261.04645</v>
      </c>
      <c r="M159" s="28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>
      <c r="A160" s="28"/>
      <c r="B160" s="19">
        <v>41433.0</v>
      </c>
      <c r="C160" s="20">
        <v>23.0</v>
      </c>
      <c r="D160" s="26">
        <v>159.0</v>
      </c>
      <c r="E160" s="34">
        <f t="shared" si="19"/>
        <v>7248.733333</v>
      </c>
      <c r="F160" s="34">
        <f t="shared" si="17"/>
        <v>0.2258064516</v>
      </c>
      <c r="G160" s="35">
        <f t="shared" si="18"/>
        <v>7156.023517</v>
      </c>
      <c r="H160" s="32"/>
      <c r="I160" s="34">
        <f t="shared" si="2"/>
        <v>23</v>
      </c>
      <c r="J160" s="32"/>
      <c r="K160" s="28"/>
      <c r="L160" s="34">
        <f t="shared" si="4"/>
        <v>42261.04645</v>
      </c>
      <c r="M160" s="28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>
      <c r="A161" s="28"/>
      <c r="B161" s="19">
        <v>41434.0</v>
      </c>
      <c r="C161" s="20">
        <v>23.0</v>
      </c>
      <c r="D161" s="26">
        <v>160.0</v>
      </c>
      <c r="E161" s="34">
        <f t="shared" si="19"/>
        <v>7248.733333</v>
      </c>
      <c r="F161" s="34">
        <f t="shared" si="17"/>
        <v>0.1935483871</v>
      </c>
      <c r="G161" s="35">
        <f t="shared" si="18"/>
        <v>7169.267777</v>
      </c>
      <c r="H161" s="32"/>
      <c r="I161" s="34">
        <f t="shared" si="2"/>
        <v>23</v>
      </c>
      <c r="J161" s="32"/>
      <c r="K161" s="28"/>
      <c r="L161" s="34">
        <f t="shared" si="4"/>
        <v>42261.04645</v>
      </c>
      <c r="M161" s="28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>
      <c r="A162" s="28"/>
      <c r="B162" s="19">
        <v>41435.0</v>
      </c>
      <c r="C162" s="20">
        <v>23.0</v>
      </c>
      <c r="D162" s="26">
        <v>161.0</v>
      </c>
      <c r="E162" s="34">
        <f t="shared" si="19"/>
        <v>7248.733333</v>
      </c>
      <c r="F162" s="34">
        <f t="shared" si="17"/>
        <v>0.1612903226</v>
      </c>
      <c r="G162" s="35">
        <f t="shared" si="18"/>
        <v>7182.512036</v>
      </c>
      <c r="H162" s="32"/>
      <c r="I162" s="34">
        <f t="shared" si="2"/>
        <v>23</v>
      </c>
      <c r="J162" s="32"/>
      <c r="K162" s="28"/>
      <c r="L162" s="34">
        <f t="shared" si="4"/>
        <v>42261.04645</v>
      </c>
      <c r="M162" s="28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>
      <c r="A163" s="28"/>
      <c r="B163" s="19">
        <v>41436.0</v>
      </c>
      <c r="C163" s="20">
        <v>24.0</v>
      </c>
      <c r="D163" s="26">
        <v>162.0</v>
      </c>
      <c r="E163" s="34">
        <f t="shared" si="19"/>
        <v>7248.733333</v>
      </c>
      <c r="F163" s="34">
        <f t="shared" si="17"/>
        <v>0.1290322581</v>
      </c>
      <c r="G163" s="35">
        <f t="shared" si="18"/>
        <v>7195.756296</v>
      </c>
      <c r="H163" s="32"/>
      <c r="I163" s="34">
        <f t="shared" si="2"/>
        <v>24</v>
      </c>
      <c r="J163" s="35">
        <f>SUM(G163:G169)</f>
        <v>50506.44644</v>
      </c>
      <c r="K163" s="20">
        <v>50506.44644</v>
      </c>
      <c r="L163" s="34">
        <f t="shared" si="4"/>
        <v>42261.04645</v>
      </c>
      <c r="M163" s="20">
        <v>42261.04645</v>
      </c>
      <c r="N163" s="40">
        <v>14029.01238</v>
      </c>
      <c r="O163" s="40">
        <v>12447.65647</v>
      </c>
      <c r="P163" s="40">
        <v>3038.018937</v>
      </c>
      <c r="Q163" s="40">
        <v>22231.0276</v>
      </c>
      <c r="R163" s="39"/>
      <c r="S163" s="40">
        <v>11582.08699</v>
      </c>
      <c r="T163" s="40">
        <v>10307.61643</v>
      </c>
      <c r="U163" s="40">
        <v>2664.853675</v>
      </c>
      <c r="V163" s="40">
        <v>18321.41002</v>
      </c>
      <c r="W163" s="40">
        <v>2446.925394</v>
      </c>
      <c r="X163" s="40">
        <v>2140.040049</v>
      </c>
      <c r="Y163" s="40">
        <v>373.1652612</v>
      </c>
      <c r="Z163" s="40">
        <v>3909.617576</v>
      </c>
    </row>
    <row r="164">
      <c r="A164" s="28"/>
      <c r="B164" s="19">
        <v>41437.0</v>
      </c>
      <c r="C164" s="20">
        <v>24.0</v>
      </c>
      <c r="D164" s="26">
        <v>163.0</v>
      </c>
      <c r="E164" s="34">
        <f t="shared" si="19"/>
        <v>7248.733333</v>
      </c>
      <c r="F164" s="34">
        <f t="shared" si="17"/>
        <v>0.09677419355</v>
      </c>
      <c r="G164" s="35">
        <f t="shared" si="18"/>
        <v>7209.000555</v>
      </c>
      <c r="H164" s="32"/>
      <c r="I164" s="34">
        <f t="shared" si="2"/>
        <v>24</v>
      </c>
      <c r="J164" s="32"/>
      <c r="K164" s="28"/>
      <c r="L164" s="34">
        <f t="shared" si="4"/>
        <v>42261.04645</v>
      </c>
      <c r="M164" s="28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>
      <c r="A165" s="28"/>
      <c r="B165" s="19">
        <v>41438.0</v>
      </c>
      <c r="C165" s="20">
        <v>24.0</v>
      </c>
      <c r="D165" s="26">
        <v>164.0</v>
      </c>
      <c r="E165" s="34">
        <f t="shared" si="19"/>
        <v>7248.733333</v>
      </c>
      <c r="F165" s="34">
        <f t="shared" si="17"/>
        <v>0.06451612903</v>
      </c>
      <c r="G165" s="35">
        <f t="shared" si="18"/>
        <v>7222.244814</v>
      </c>
      <c r="H165" s="32"/>
      <c r="I165" s="34">
        <f t="shared" si="2"/>
        <v>24</v>
      </c>
      <c r="J165" s="32"/>
      <c r="K165" s="28"/>
      <c r="L165" s="34">
        <f t="shared" si="4"/>
        <v>42261.04645</v>
      </c>
      <c r="M165" s="28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>
      <c r="A166" s="28"/>
      <c r="B166" s="19">
        <v>41439.0</v>
      </c>
      <c r="C166" s="20">
        <v>24.0</v>
      </c>
      <c r="D166" s="26">
        <v>165.0</v>
      </c>
      <c r="E166" s="34">
        <f t="shared" si="19"/>
        <v>7248.733333</v>
      </c>
      <c r="F166" s="34">
        <f t="shared" si="17"/>
        <v>0.03225806452</v>
      </c>
      <c r="G166" s="35">
        <f t="shared" si="18"/>
        <v>7235.489074</v>
      </c>
      <c r="H166" s="32"/>
      <c r="I166" s="34">
        <f t="shared" si="2"/>
        <v>24</v>
      </c>
      <c r="J166" s="32"/>
      <c r="K166" s="28"/>
      <c r="L166" s="34">
        <f t="shared" si="4"/>
        <v>42261.04645</v>
      </c>
      <c r="M166" s="28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>
      <c r="A167" s="28"/>
      <c r="B167" s="19">
        <v>41440.0</v>
      </c>
      <c r="C167" s="20">
        <v>24.0</v>
      </c>
      <c r="D167" s="26">
        <v>166.0</v>
      </c>
      <c r="E167" s="34">
        <f t="shared" si="19"/>
        <v>7248.733333</v>
      </c>
      <c r="F167" s="34">
        <f t="shared" si="17"/>
        <v>0</v>
      </c>
      <c r="G167" s="35">
        <f t="shared" ref="G167:G197" si="20">E152*F167+(1-F167)*E182</f>
        <v>7248.733333</v>
      </c>
      <c r="H167" s="32"/>
      <c r="I167" s="34">
        <f t="shared" si="2"/>
        <v>24</v>
      </c>
      <c r="J167" s="32"/>
      <c r="K167" s="28"/>
      <c r="L167" s="34">
        <f t="shared" si="4"/>
        <v>42261.04645</v>
      </c>
      <c r="M167" s="28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>
      <c r="A168" s="13"/>
      <c r="B168" s="19">
        <v>41441.0</v>
      </c>
      <c r="C168" s="20">
        <v>24.0</v>
      </c>
      <c r="D168" s="26">
        <v>167.0</v>
      </c>
      <c r="E168" s="34">
        <f t="shared" si="19"/>
        <v>7248.733333</v>
      </c>
      <c r="F168" s="34">
        <f t="shared" ref="F168:F197" si="21">abs((D168-196)/(166-196))</f>
        <v>0.9666666667</v>
      </c>
      <c r="G168" s="35">
        <f t="shared" si="20"/>
        <v>7214.6519</v>
      </c>
      <c r="H168" s="32"/>
      <c r="I168" s="34">
        <f t="shared" si="2"/>
        <v>24</v>
      </c>
      <c r="J168" s="32"/>
      <c r="K168" s="28"/>
      <c r="L168" s="34">
        <f t="shared" si="4"/>
        <v>42261.04645</v>
      </c>
      <c r="M168" s="28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>
      <c r="A169" s="13"/>
      <c r="B169" s="19">
        <v>41442.0</v>
      </c>
      <c r="C169" s="20">
        <v>24.0</v>
      </c>
      <c r="D169" s="26">
        <v>168.0</v>
      </c>
      <c r="E169" s="34">
        <f t="shared" si="19"/>
        <v>7248.733333</v>
      </c>
      <c r="F169" s="34">
        <f t="shared" si="21"/>
        <v>0.9333333333</v>
      </c>
      <c r="G169" s="35">
        <f t="shared" si="20"/>
        <v>7180.570466</v>
      </c>
      <c r="H169" s="32"/>
      <c r="I169" s="34">
        <f t="shared" si="2"/>
        <v>24</v>
      </c>
      <c r="J169" s="32"/>
      <c r="K169" s="28"/>
      <c r="L169" s="34">
        <f t="shared" si="4"/>
        <v>42261.04645</v>
      </c>
      <c r="M169" s="28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>
      <c r="A170" s="28"/>
      <c r="B170" s="19">
        <v>41443.0</v>
      </c>
      <c r="C170" s="20">
        <v>25.0</v>
      </c>
      <c r="D170" s="26">
        <v>169.0</v>
      </c>
      <c r="E170" s="34">
        <f t="shared" si="19"/>
        <v>7248.733333</v>
      </c>
      <c r="F170" s="34">
        <f t="shared" si="21"/>
        <v>0.9</v>
      </c>
      <c r="G170" s="35">
        <f t="shared" si="20"/>
        <v>7146.489032</v>
      </c>
      <c r="H170" s="32"/>
      <c r="I170" s="34">
        <f t="shared" si="2"/>
        <v>25</v>
      </c>
      <c r="J170" s="35">
        <f>SUM(G170:G176)</f>
        <v>49309.71312</v>
      </c>
      <c r="K170" s="20">
        <v>49309.71312</v>
      </c>
      <c r="L170" s="34">
        <f t="shared" si="4"/>
        <v>42261.04645</v>
      </c>
      <c r="M170" s="20">
        <v>42261.04645</v>
      </c>
      <c r="N170" s="40">
        <v>13430.38652</v>
      </c>
      <c r="O170" s="40">
        <v>11973.46106</v>
      </c>
      <c r="P170" s="40">
        <v>3077.757721</v>
      </c>
      <c r="Q170" s="40">
        <v>20795.56901</v>
      </c>
      <c r="R170" s="39"/>
      <c r="S170" s="40">
        <v>11040.33968</v>
      </c>
      <c r="T170" s="40">
        <v>10267.63628</v>
      </c>
      <c r="U170" s="40">
        <v>2654.652134</v>
      </c>
      <c r="V170" s="40">
        <v>17764.69422</v>
      </c>
      <c r="W170" s="40">
        <v>2390.046839</v>
      </c>
      <c r="X170" s="40">
        <v>1705.824774</v>
      </c>
      <c r="Y170" s="40">
        <v>423.1055869</v>
      </c>
      <c r="Z170" s="40">
        <v>3030.874784</v>
      </c>
    </row>
    <row r="171">
      <c r="A171" s="28"/>
      <c r="B171" s="19">
        <v>41444.0</v>
      </c>
      <c r="C171" s="20">
        <v>25.0</v>
      </c>
      <c r="D171" s="26">
        <v>170.0</v>
      </c>
      <c r="E171" s="34">
        <f t="shared" si="19"/>
        <v>7248.733333</v>
      </c>
      <c r="F171" s="34">
        <f t="shared" si="21"/>
        <v>0.8666666667</v>
      </c>
      <c r="G171" s="35">
        <f t="shared" si="20"/>
        <v>7112.407599</v>
      </c>
      <c r="H171" s="32"/>
      <c r="I171" s="34">
        <f t="shared" si="2"/>
        <v>25</v>
      </c>
      <c r="J171" s="32"/>
      <c r="K171" s="28"/>
      <c r="L171" s="34">
        <f t="shared" si="4"/>
        <v>42261.04645</v>
      </c>
      <c r="M171" s="28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>
      <c r="A172" s="28"/>
      <c r="B172" s="19">
        <v>41445.0</v>
      </c>
      <c r="C172" s="20">
        <v>25.0</v>
      </c>
      <c r="D172" s="26">
        <v>171.0</v>
      </c>
      <c r="E172" s="34">
        <f t="shared" si="19"/>
        <v>7248.733333</v>
      </c>
      <c r="F172" s="34">
        <f t="shared" si="21"/>
        <v>0.8333333333</v>
      </c>
      <c r="G172" s="35">
        <f t="shared" si="20"/>
        <v>7078.326165</v>
      </c>
      <c r="H172" s="32"/>
      <c r="I172" s="34">
        <f t="shared" si="2"/>
        <v>25</v>
      </c>
      <c r="J172" s="32"/>
      <c r="K172" s="28"/>
      <c r="L172" s="34">
        <f t="shared" si="4"/>
        <v>42261.04645</v>
      </c>
      <c r="M172" s="28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>
      <c r="A173" s="28"/>
      <c r="B173" s="19">
        <v>41446.0</v>
      </c>
      <c r="C173" s="20">
        <v>25.0</v>
      </c>
      <c r="D173" s="26">
        <v>172.0</v>
      </c>
      <c r="E173" s="34">
        <f t="shared" si="19"/>
        <v>7248.733333</v>
      </c>
      <c r="F173" s="34">
        <f t="shared" si="21"/>
        <v>0.8</v>
      </c>
      <c r="G173" s="35">
        <f t="shared" si="20"/>
        <v>7044.244731</v>
      </c>
      <c r="H173" s="32"/>
      <c r="I173" s="34">
        <f t="shared" si="2"/>
        <v>25</v>
      </c>
      <c r="J173" s="32"/>
      <c r="K173" s="28"/>
      <c r="L173" s="34">
        <f t="shared" si="4"/>
        <v>42261.04645</v>
      </c>
      <c r="M173" s="28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>
      <c r="A174" s="28"/>
      <c r="B174" s="19">
        <v>41447.0</v>
      </c>
      <c r="C174" s="20">
        <v>25.0</v>
      </c>
      <c r="D174" s="26">
        <v>173.0</v>
      </c>
      <c r="E174" s="34">
        <f t="shared" si="19"/>
        <v>7248.733333</v>
      </c>
      <c r="F174" s="34">
        <f t="shared" si="21"/>
        <v>0.7666666667</v>
      </c>
      <c r="G174" s="35">
        <f t="shared" si="20"/>
        <v>7010.163297</v>
      </c>
      <c r="H174" s="32"/>
      <c r="I174" s="34">
        <f t="shared" si="2"/>
        <v>25</v>
      </c>
      <c r="J174" s="32"/>
      <c r="K174" s="28"/>
      <c r="L174" s="34">
        <f t="shared" si="4"/>
        <v>42261.04645</v>
      </c>
      <c r="M174" s="28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>
      <c r="A175" s="28"/>
      <c r="B175" s="19">
        <v>41448.0</v>
      </c>
      <c r="C175" s="20">
        <v>25.0</v>
      </c>
      <c r="D175" s="26">
        <v>174.0</v>
      </c>
      <c r="E175" s="34">
        <f t="shared" si="19"/>
        <v>7248.733333</v>
      </c>
      <c r="F175" s="34">
        <f t="shared" si="21"/>
        <v>0.7333333333</v>
      </c>
      <c r="G175" s="35">
        <f t="shared" si="20"/>
        <v>6976.081864</v>
      </c>
      <c r="H175" s="32"/>
      <c r="I175" s="34">
        <f t="shared" si="2"/>
        <v>25</v>
      </c>
      <c r="J175" s="32"/>
      <c r="K175" s="28"/>
      <c r="L175" s="34">
        <f t="shared" si="4"/>
        <v>42261.04645</v>
      </c>
      <c r="M175" s="28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>
      <c r="A176" s="28"/>
      <c r="B176" s="19">
        <v>41449.0</v>
      </c>
      <c r="C176" s="20">
        <v>25.0</v>
      </c>
      <c r="D176" s="26">
        <v>175.0</v>
      </c>
      <c r="E176" s="34">
        <f t="shared" si="19"/>
        <v>7248.733333</v>
      </c>
      <c r="F176" s="34">
        <f t="shared" si="21"/>
        <v>0.7</v>
      </c>
      <c r="G176" s="35">
        <f t="shared" si="20"/>
        <v>6942.00043</v>
      </c>
      <c r="H176" s="32"/>
      <c r="I176" s="34">
        <f t="shared" si="2"/>
        <v>25</v>
      </c>
      <c r="J176" s="32"/>
      <c r="K176" s="28"/>
      <c r="L176" s="34">
        <f t="shared" si="4"/>
        <v>42261.04645</v>
      </c>
      <c r="M176" s="28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>
      <c r="A177" s="28"/>
      <c r="B177" s="19">
        <v>41450.0</v>
      </c>
      <c r="C177" s="20">
        <v>26.0</v>
      </c>
      <c r="D177" s="26">
        <v>176.0</v>
      </c>
      <c r="E177" s="34">
        <f t="shared" si="19"/>
        <v>7248.733333</v>
      </c>
      <c r="F177" s="34">
        <f t="shared" si="21"/>
        <v>0.6666666667</v>
      </c>
      <c r="G177" s="35">
        <f t="shared" si="20"/>
        <v>6907.918996</v>
      </c>
      <c r="H177" s="32"/>
      <c r="I177" s="34">
        <f t="shared" si="2"/>
        <v>26</v>
      </c>
      <c r="J177" s="35">
        <f>SUM(G177:G183)</f>
        <v>47639.72287</v>
      </c>
      <c r="K177" s="20">
        <v>47639.72287</v>
      </c>
      <c r="L177" s="34">
        <f t="shared" si="4"/>
        <v>42261.04645</v>
      </c>
      <c r="M177" s="20">
        <v>42261.04645</v>
      </c>
      <c r="N177" s="40">
        <v>13214.93967</v>
      </c>
      <c r="O177" s="40">
        <v>10901.11998</v>
      </c>
      <c r="P177" s="40">
        <v>2987.962369</v>
      </c>
      <c r="Q177" s="40">
        <v>20890.38963</v>
      </c>
      <c r="R177" s="39"/>
      <c r="S177" s="40">
        <v>11273.66824</v>
      </c>
      <c r="T177" s="40">
        <v>10307.79843</v>
      </c>
      <c r="U177" s="40">
        <v>2667.366772</v>
      </c>
      <c r="V177" s="40">
        <v>17841.96424</v>
      </c>
      <c r="W177" s="40">
        <v>1941.271433</v>
      </c>
      <c r="X177" s="40">
        <v>593.3215527</v>
      </c>
      <c r="Y177" s="40">
        <v>320.5955969</v>
      </c>
      <c r="Z177" s="40">
        <v>3048.42539</v>
      </c>
    </row>
    <row r="178">
      <c r="A178" s="28"/>
      <c r="B178" s="19">
        <v>41451.0</v>
      </c>
      <c r="C178" s="20">
        <v>26.0</v>
      </c>
      <c r="D178" s="26">
        <v>177.0</v>
      </c>
      <c r="E178" s="34">
        <f t="shared" si="19"/>
        <v>7248.733333</v>
      </c>
      <c r="F178" s="34">
        <f t="shared" si="21"/>
        <v>0.6333333333</v>
      </c>
      <c r="G178" s="35">
        <f t="shared" si="20"/>
        <v>6873.837563</v>
      </c>
      <c r="H178" s="32"/>
      <c r="I178" s="34">
        <f t="shared" si="2"/>
        <v>26</v>
      </c>
      <c r="J178" s="32"/>
      <c r="K178" s="28"/>
      <c r="L178" s="34">
        <f t="shared" si="4"/>
        <v>42261.04645</v>
      </c>
      <c r="M178" s="28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>
      <c r="A179" s="28"/>
      <c r="B179" s="19">
        <v>41452.0</v>
      </c>
      <c r="C179" s="20">
        <v>26.0</v>
      </c>
      <c r="D179" s="26">
        <v>178.0</v>
      </c>
      <c r="E179" s="34">
        <f t="shared" si="19"/>
        <v>7248.733333</v>
      </c>
      <c r="F179" s="34">
        <f t="shared" si="21"/>
        <v>0.6</v>
      </c>
      <c r="G179" s="35">
        <f t="shared" si="20"/>
        <v>6839.756129</v>
      </c>
      <c r="H179" s="32"/>
      <c r="I179" s="34">
        <f t="shared" si="2"/>
        <v>26</v>
      </c>
      <c r="J179" s="32"/>
      <c r="K179" s="28"/>
      <c r="L179" s="34">
        <f t="shared" si="4"/>
        <v>42261.04645</v>
      </c>
      <c r="M179" s="28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>
      <c r="A180" s="28"/>
      <c r="B180" s="19">
        <v>41453.0</v>
      </c>
      <c r="C180" s="20">
        <v>26.0</v>
      </c>
      <c r="D180" s="26">
        <v>179.0</v>
      </c>
      <c r="E180" s="34">
        <f t="shared" si="19"/>
        <v>7248.733333</v>
      </c>
      <c r="F180" s="34">
        <f t="shared" si="21"/>
        <v>0.5666666667</v>
      </c>
      <c r="G180" s="35">
        <f t="shared" si="20"/>
        <v>6805.674695</v>
      </c>
      <c r="H180" s="32"/>
      <c r="I180" s="34">
        <f t="shared" si="2"/>
        <v>26</v>
      </c>
      <c r="J180" s="32"/>
      <c r="K180" s="28"/>
      <c r="L180" s="34">
        <f t="shared" si="4"/>
        <v>42261.04645</v>
      </c>
      <c r="M180" s="28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>
      <c r="A181" s="28"/>
      <c r="B181" s="19">
        <v>41454.0</v>
      </c>
      <c r="C181" s="20">
        <v>26.0</v>
      </c>
      <c r="D181" s="26">
        <v>180.0</v>
      </c>
      <c r="E181" s="34">
        <f t="shared" si="19"/>
        <v>7248.733333</v>
      </c>
      <c r="F181" s="34">
        <f t="shared" si="21"/>
        <v>0.5333333333</v>
      </c>
      <c r="G181" s="35">
        <f t="shared" si="20"/>
        <v>6771.593262</v>
      </c>
      <c r="H181" s="32"/>
      <c r="I181" s="34">
        <f t="shared" si="2"/>
        <v>26</v>
      </c>
      <c r="J181" s="32"/>
      <c r="K181" s="28"/>
      <c r="L181" s="34">
        <f t="shared" si="4"/>
        <v>42261.04645</v>
      </c>
      <c r="M181" s="28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>
      <c r="A182" s="28"/>
      <c r="B182" s="19">
        <v>41455.0</v>
      </c>
      <c r="C182" s="20">
        <v>26.0</v>
      </c>
      <c r="D182" s="26">
        <v>181.0</v>
      </c>
      <c r="E182" s="34">
        <f t="shared" si="19"/>
        <v>7248.733333</v>
      </c>
      <c r="F182" s="34">
        <f t="shared" si="21"/>
        <v>0.5</v>
      </c>
      <c r="G182" s="35">
        <f t="shared" si="20"/>
        <v>6737.511828</v>
      </c>
      <c r="H182" s="32"/>
      <c r="I182" s="34">
        <f t="shared" si="2"/>
        <v>26</v>
      </c>
      <c r="J182" s="32"/>
      <c r="K182" s="28"/>
      <c r="L182" s="34">
        <f t="shared" si="4"/>
        <v>42261.04645</v>
      </c>
      <c r="M182" s="28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>
      <c r="A183" s="28"/>
      <c r="B183" s="19">
        <v>41456.0</v>
      </c>
      <c r="C183" s="20">
        <v>26.0</v>
      </c>
      <c r="D183" s="26">
        <v>182.0</v>
      </c>
      <c r="E183" s="34">
        <f>A185/31</f>
        <v>6226.290323</v>
      </c>
      <c r="F183" s="34">
        <f t="shared" si="21"/>
        <v>0.4666666667</v>
      </c>
      <c r="G183" s="35">
        <f t="shared" si="20"/>
        <v>6703.430394</v>
      </c>
      <c r="H183" s="32"/>
      <c r="I183" s="34">
        <f t="shared" si="2"/>
        <v>26</v>
      </c>
      <c r="J183" s="32"/>
      <c r="K183" s="28"/>
      <c r="L183" s="34">
        <f t="shared" si="4"/>
        <v>42261.04645</v>
      </c>
      <c r="M183" s="28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>
      <c r="A184" s="13" t="s">
        <v>70</v>
      </c>
      <c r="B184" s="19">
        <v>41457.0</v>
      </c>
      <c r="C184" s="20">
        <v>27.0</v>
      </c>
      <c r="D184" s="26">
        <v>183.0</v>
      </c>
      <c r="E184" s="34">
        <f>A185/31</f>
        <v>6226.290323</v>
      </c>
      <c r="F184" s="34">
        <f t="shared" si="21"/>
        <v>0.4333333333</v>
      </c>
      <c r="G184" s="35">
        <f t="shared" si="20"/>
        <v>6669.348961</v>
      </c>
      <c r="H184" s="32"/>
      <c r="I184" s="34">
        <f t="shared" si="2"/>
        <v>27</v>
      </c>
      <c r="J184" s="35">
        <f>SUM(G184:G190)</f>
        <v>45969.73262</v>
      </c>
      <c r="K184" s="20">
        <v>45969.73262</v>
      </c>
      <c r="L184" s="34">
        <f t="shared" si="4"/>
        <v>42261.04645</v>
      </c>
      <c r="M184" s="20">
        <v>42261.04645</v>
      </c>
      <c r="N184" s="40">
        <v>12023.05884</v>
      </c>
      <c r="O184" s="40">
        <v>11290.0399</v>
      </c>
      <c r="P184" s="40">
        <v>2924.847745</v>
      </c>
      <c r="Q184" s="40">
        <v>19611.22639</v>
      </c>
      <c r="R184" s="39"/>
      <c r="S184" s="40">
        <v>10960.40239</v>
      </c>
      <c r="T184" s="40">
        <v>10101.72669</v>
      </c>
      <c r="U184" s="40">
        <v>2567.519495</v>
      </c>
      <c r="V184" s="40">
        <v>17953.70751</v>
      </c>
      <c r="W184" s="40">
        <v>1062.656451</v>
      </c>
      <c r="X184" s="40">
        <v>1188.313205</v>
      </c>
      <c r="Y184" s="40">
        <v>357.3282493</v>
      </c>
      <c r="Z184" s="40">
        <v>1657.518875</v>
      </c>
    </row>
    <row r="185">
      <c r="A185" s="20">
        <v>193015.0</v>
      </c>
      <c r="B185" s="19">
        <v>41458.0</v>
      </c>
      <c r="C185" s="20">
        <v>27.0</v>
      </c>
      <c r="D185" s="26">
        <v>184.0</v>
      </c>
      <c r="E185" s="34">
        <f t="shared" ref="E185:E213" si="22">E184</f>
        <v>6226.290323</v>
      </c>
      <c r="F185" s="34">
        <f t="shared" si="21"/>
        <v>0.4</v>
      </c>
      <c r="G185" s="35">
        <f t="shared" si="20"/>
        <v>6635.267527</v>
      </c>
      <c r="H185" s="32"/>
      <c r="I185" s="34">
        <f t="shared" si="2"/>
        <v>27</v>
      </c>
      <c r="J185" s="32"/>
      <c r="K185" s="28"/>
      <c r="L185" s="34">
        <f t="shared" si="4"/>
        <v>42261.04645</v>
      </c>
      <c r="M185" s="28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>
      <c r="A186" s="28"/>
      <c r="B186" s="19">
        <v>41459.0</v>
      </c>
      <c r="C186" s="20">
        <v>27.0</v>
      </c>
      <c r="D186" s="26">
        <v>185.0</v>
      </c>
      <c r="E186" s="34">
        <f t="shared" si="22"/>
        <v>6226.290323</v>
      </c>
      <c r="F186" s="34">
        <f t="shared" si="21"/>
        <v>0.3666666667</v>
      </c>
      <c r="G186" s="35">
        <f t="shared" si="20"/>
        <v>6601.186093</v>
      </c>
      <c r="H186" s="32"/>
      <c r="I186" s="34">
        <f t="shared" si="2"/>
        <v>27</v>
      </c>
      <c r="J186" s="32"/>
      <c r="K186" s="28"/>
      <c r="L186" s="34">
        <f t="shared" si="4"/>
        <v>42261.04645</v>
      </c>
      <c r="M186" s="28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>
      <c r="A187" s="28"/>
      <c r="B187" s="19">
        <v>41460.0</v>
      </c>
      <c r="C187" s="20">
        <v>27.0</v>
      </c>
      <c r="D187" s="26">
        <v>186.0</v>
      </c>
      <c r="E187" s="34">
        <f t="shared" si="22"/>
        <v>6226.290323</v>
      </c>
      <c r="F187" s="34">
        <f t="shared" si="21"/>
        <v>0.3333333333</v>
      </c>
      <c r="G187" s="35">
        <f t="shared" si="20"/>
        <v>6567.104659</v>
      </c>
      <c r="H187" s="32"/>
      <c r="I187" s="34">
        <f t="shared" si="2"/>
        <v>27</v>
      </c>
      <c r="J187" s="32"/>
      <c r="K187" s="28"/>
      <c r="L187" s="34">
        <f t="shared" si="4"/>
        <v>42261.04645</v>
      </c>
      <c r="M187" s="28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>
      <c r="A188" s="28"/>
      <c r="B188" s="19">
        <v>41461.0</v>
      </c>
      <c r="C188" s="20">
        <v>27.0</v>
      </c>
      <c r="D188" s="26">
        <v>187.0</v>
      </c>
      <c r="E188" s="34">
        <f t="shared" si="22"/>
        <v>6226.290323</v>
      </c>
      <c r="F188" s="34">
        <f t="shared" si="21"/>
        <v>0.3</v>
      </c>
      <c r="G188" s="35">
        <f t="shared" si="20"/>
        <v>6533.023226</v>
      </c>
      <c r="H188" s="32"/>
      <c r="I188" s="34">
        <f t="shared" si="2"/>
        <v>27</v>
      </c>
      <c r="J188" s="32"/>
      <c r="K188" s="28"/>
      <c r="L188" s="34">
        <f t="shared" si="4"/>
        <v>42261.04645</v>
      </c>
      <c r="M188" s="28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>
      <c r="A189" s="28"/>
      <c r="B189" s="19">
        <v>41462.0</v>
      </c>
      <c r="C189" s="20">
        <v>27.0</v>
      </c>
      <c r="D189" s="26">
        <v>188.0</v>
      </c>
      <c r="E189" s="34">
        <f t="shared" si="22"/>
        <v>6226.290323</v>
      </c>
      <c r="F189" s="34">
        <f t="shared" si="21"/>
        <v>0.2666666667</v>
      </c>
      <c r="G189" s="35">
        <f t="shared" si="20"/>
        <v>6498.941792</v>
      </c>
      <c r="H189" s="32"/>
      <c r="I189" s="34">
        <f t="shared" si="2"/>
        <v>27</v>
      </c>
      <c r="J189" s="32"/>
      <c r="K189" s="28"/>
      <c r="L189" s="34">
        <f t="shared" si="4"/>
        <v>42261.04645</v>
      </c>
      <c r="M189" s="28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>
      <c r="A190" s="28"/>
      <c r="B190" s="19">
        <v>41463.0</v>
      </c>
      <c r="C190" s="20">
        <v>27.0</v>
      </c>
      <c r="D190" s="26">
        <v>189.0</v>
      </c>
      <c r="E190" s="34">
        <f t="shared" si="22"/>
        <v>6226.290323</v>
      </c>
      <c r="F190" s="34">
        <f t="shared" si="21"/>
        <v>0.2333333333</v>
      </c>
      <c r="G190" s="35">
        <f t="shared" si="20"/>
        <v>6464.860358</v>
      </c>
      <c r="H190" s="32"/>
      <c r="I190" s="34">
        <f t="shared" si="2"/>
        <v>27</v>
      </c>
      <c r="J190" s="32"/>
      <c r="K190" s="28"/>
      <c r="L190" s="34">
        <f t="shared" si="4"/>
        <v>42261.04645</v>
      </c>
      <c r="M190" s="28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>
      <c r="A191" s="28"/>
      <c r="B191" s="19">
        <v>41464.0</v>
      </c>
      <c r="C191" s="20">
        <v>28.0</v>
      </c>
      <c r="D191" s="26">
        <v>190.0</v>
      </c>
      <c r="E191" s="34">
        <f t="shared" si="22"/>
        <v>6226.290323</v>
      </c>
      <c r="F191" s="34">
        <f t="shared" si="21"/>
        <v>0.2</v>
      </c>
      <c r="G191" s="35">
        <f t="shared" si="20"/>
        <v>6430.778925</v>
      </c>
      <c r="H191" s="32"/>
      <c r="I191" s="34">
        <f t="shared" si="2"/>
        <v>28</v>
      </c>
      <c r="J191" s="35">
        <f>SUM(G191:G197)</f>
        <v>44299.74237</v>
      </c>
      <c r="K191" s="20">
        <v>44299.74237</v>
      </c>
      <c r="L191" s="34">
        <f t="shared" si="4"/>
        <v>42261.04645</v>
      </c>
      <c r="M191" s="20">
        <v>42261.04645</v>
      </c>
      <c r="N191" s="40">
        <v>11225.68059</v>
      </c>
      <c r="O191" s="40">
        <v>10061.35036</v>
      </c>
      <c r="P191" s="40">
        <v>2609.044392</v>
      </c>
      <c r="Q191" s="40">
        <v>19233.26937</v>
      </c>
      <c r="R191" s="39"/>
      <c r="S191" s="40">
        <v>11486.35164</v>
      </c>
      <c r="T191" s="40">
        <v>10055.27293</v>
      </c>
      <c r="U191" s="40">
        <v>2480.255885</v>
      </c>
      <c r="V191" s="40">
        <v>18876.77292</v>
      </c>
      <c r="W191" s="40">
        <v>-260.6710515</v>
      </c>
      <c r="X191" s="40">
        <v>6.077430263</v>
      </c>
      <c r="Y191" s="40">
        <v>128.7885073</v>
      </c>
      <c r="Z191" s="40">
        <v>356.4964483</v>
      </c>
    </row>
    <row r="192">
      <c r="A192" s="28"/>
      <c r="B192" s="19">
        <v>41465.0</v>
      </c>
      <c r="C192" s="20">
        <v>28.0</v>
      </c>
      <c r="D192" s="26">
        <v>191.0</v>
      </c>
      <c r="E192" s="34">
        <f t="shared" si="22"/>
        <v>6226.290323</v>
      </c>
      <c r="F192" s="34">
        <f t="shared" si="21"/>
        <v>0.1666666667</v>
      </c>
      <c r="G192" s="35">
        <f t="shared" si="20"/>
        <v>6396.697491</v>
      </c>
      <c r="H192" s="32"/>
      <c r="I192" s="34">
        <f t="shared" si="2"/>
        <v>28</v>
      </c>
      <c r="J192" s="32"/>
      <c r="K192" s="28"/>
      <c r="L192" s="34">
        <f t="shared" si="4"/>
        <v>42261.04645</v>
      </c>
      <c r="M192" s="28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>
      <c r="A193" s="28"/>
      <c r="B193" s="19">
        <v>41466.0</v>
      </c>
      <c r="C193" s="20">
        <v>28.0</v>
      </c>
      <c r="D193" s="26">
        <v>192.0</v>
      </c>
      <c r="E193" s="34">
        <f t="shared" si="22"/>
        <v>6226.290323</v>
      </c>
      <c r="F193" s="34">
        <f t="shared" si="21"/>
        <v>0.1333333333</v>
      </c>
      <c r="G193" s="35">
        <f t="shared" si="20"/>
        <v>6362.616057</v>
      </c>
      <c r="H193" s="32"/>
      <c r="I193" s="34">
        <f t="shared" si="2"/>
        <v>28</v>
      </c>
      <c r="J193" s="32"/>
      <c r="K193" s="28"/>
      <c r="L193" s="34">
        <f t="shared" si="4"/>
        <v>42261.04645</v>
      </c>
      <c r="M193" s="28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>
      <c r="A194" s="28"/>
      <c r="B194" s="19">
        <v>41467.0</v>
      </c>
      <c r="C194" s="20">
        <v>28.0</v>
      </c>
      <c r="D194" s="26">
        <v>193.0</v>
      </c>
      <c r="E194" s="34">
        <f t="shared" si="22"/>
        <v>6226.290323</v>
      </c>
      <c r="F194" s="34">
        <f t="shared" si="21"/>
        <v>0.1</v>
      </c>
      <c r="G194" s="35">
        <f t="shared" si="20"/>
        <v>6328.534624</v>
      </c>
      <c r="H194" s="32"/>
      <c r="I194" s="34">
        <f t="shared" si="2"/>
        <v>28</v>
      </c>
      <c r="J194" s="32"/>
      <c r="K194" s="28"/>
      <c r="L194" s="34">
        <f t="shared" si="4"/>
        <v>42261.04645</v>
      </c>
      <c r="M194" s="28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>
      <c r="A195" s="28"/>
      <c r="B195" s="19">
        <v>41468.0</v>
      </c>
      <c r="C195" s="20">
        <v>28.0</v>
      </c>
      <c r="D195" s="26">
        <v>194.0</v>
      </c>
      <c r="E195" s="34">
        <f t="shared" si="22"/>
        <v>6226.290323</v>
      </c>
      <c r="F195" s="34">
        <f t="shared" si="21"/>
        <v>0.06666666667</v>
      </c>
      <c r="G195" s="35">
        <f t="shared" si="20"/>
        <v>6294.45319</v>
      </c>
      <c r="H195" s="32"/>
      <c r="I195" s="34">
        <f t="shared" si="2"/>
        <v>28</v>
      </c>
      <c r="J195" s="32"/>
      <c r="K195" s="28"/>
      <c r="L195" s="34">
        <f t="shared" si="4"/>
        <v>42261.04645</v>
      </c>
      <c r="M195" s="28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>
      <c r="A196" s="28"/>
      <c r="B196" s="19">
        <v>41469.0</v>
      </c>
      <c r="C196" s="20">
        <v>28.0</v>
      </c>
      <c r="D196" s="26">
        <v>195.0</v>
      </c>
      <c r="E196" s="34">
        <f t="shared" si="22"/>
        <v>6226.290323</v>
      </c>
      <c r="F196" s="34">
        <f t="shared" si="21"/>
        <v>0.03333333333</v>
      </c>
      <c r="G196" s="35">
        <f t="shared" si="20"/>
        <v>6260.371756</v>
      </c>
      <c r="H196" s="32"/>
      <c r="I196" s="34">
        <f t="shared" si="2"/>
        <v>28</v>
      </c>
      <c r="J196" s="32"/>
      <c r="K196" s="28"/>
      <c r="L196" s="34">
        <f t="shared" si="4"/>
        <v>42261.04645</v>
      </c>
      <c r="M196" s="28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>
      <c r="A197" s="28"/>
      <c r="B197" s="19">
        <v>41470.0</v>
      </c>
      <c r="C197" s="20">
        <v>28.0</v>
      </c>
      <c r="D197" s="26">
        <v>196.0</v>
      </c>
      <c r="E197" s="34">
        <f t="shared" si="22"/>
        <v>6226.290323</v>
      </c>
      <c r="F197" s="34">
        <f t="shared" si="21"/>
        <v>0</v>
      </c>
      <c r="G197" s="35">
        <f t="shared" si="20"/>
        <v>6226.290323</v>
      </c>
      <c r="H197" s="32"/>
      <c r="I197" s="34">
        <f t="shared" si="2"/>
        <v>28</v>
      </c>
      <c r="J197" s="32"/>
      <c r="K197" s="28"/>
      <c r="L197" s="34">
        <f t="shared" si="4"/>
        <v>42261.04645</v>
      </c>
      <c r="M197" s="28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>
      <c r="A198" s="13"/>
      <c r="B198" s="19">
        <v>41471.0</v>
      </c>
      <c r="C198" s="20">
        <v>29.0</v>
      </c>
      <c r="D198" s="26">
        <v>197.0</v>
      </c>
      <c r="E198" s="34">
        <f t="shared" si="22"/>
        <v>6226.290323</v>
      </c>
      <c r="F198" s="34">
        <f t="shared" ref="F198:F228" si="23">abs((D198-227)/(227-196))</f>
        <v>0.9677419355</v>
      </c>
      <c r="G198" s="35">
        <f t="shared" ref="G198:G258" si="24">E183*F198+(1-F198)*E214</f>
        <v>6238.372529</v>
      </c>
      <c r="H198" s="32"/>
      <c r="I198" s="34">
        <f t="shared" si="2"/>
        <v>29</v>
      </c>
      <c r="J198" s="35">
        <f>SUM(G198:G204)</f>
        <v>43922.33403</v>
      </c>
      <c r="K198" s="20">
        <v>43922.33403</v>
      </c>
      <c r="L198" s="34">
        <f t="shared" si="4"/>
        <v>42261.04645</v>
      </c>
      <c r="M198" s="20">
        <v>42261.04645</v>
      </c>
      <c r="N198" s="40">
        <v>11672.38578</v>
      </c>
      <c r="O198" s="40">
        <v>9995.884624</v>
      </c>
      <c r="P198" s="40">
        <v>2534.057728</v>
      </c>
      <c r="Q198" s="40">
        <v>19859.9657</v>
      </c>
      <c r="R198" s="39"/>
      <c r="S198" s="40">
        <v>11555.87578</v>
      </c>
      <c r="T198" s="40">
        <v>9907.991453</v>
      </c>
      <c r="U198" s="40">
        <v>2585.252121</v>
      </c>
      <c r="V198" s="40">
        <v>18309.5689</v>
      </c>
      <c r="W198" s="40">
        <v>116.5099924</v>
      </c>
      <c r="X198" s="40">
        <v>87.89317065</v>
      </c>
      <c r="Y198" s="40">
        <v>-51.19439307</v>
      </c>
      <c r="Z198" s="40">
        <v>1550.3968</v>
      </c>
    </row>
    <row r="199">
      <c r="A199" s="13"/>
      <c r="B199" s="19">
        <v>41472.0</v>
      </c>
      <c r="C199" s="20">
        <v>29.0</v>
      </c>
      <c r="D199" s="26">
        <v>198.0</v>
      </c>
      <c r="E199" s="34">
        <f t="shared" si="22"/>
        <v>6226.290323</v>
      </c>
      <c r="F199" s="34">
        <f t="shared" si="23"/>
        <v>0.935483871</v>
      </c>
      <c r="G199" s="35">
        <f t="shared" si="24"/>
        <v>6250.454735</v>
      </c>
      <c r="H199" s="32"/>
      <c r="I199" s="34">
        <f t="shared" si="2"/>
        <v>29</v>
      </c>
      <c r="J199" s="32"/>
      <c r="K199" s="28"/>
      <c r="L199" s="34">
        <f t="shared" si="4"/>
        <v>42261.04645</v>
      </c>
      <c r="M199" s="28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>
      <c r="A200" s="28"/>
      <c r="B200" s="19">
        <v>41473.0</v>
      </c>
      <c r="C200" s="20">
        <v>29.0</v>
      </c>
      <c r="D200" s="26">
        <v>199.0</v>
      </c>
      <c r="E200" s="34">
        <f t="shared" si="22"/>
        <v>6226.290323</v>
      </c>
      <c r="F200" s="34">
        <f t="shared" si="23"/>
        <v>0.9032258065</v>
      </c>
      <c r="G200" s="35">
        <f t="shared" si="24"/>
        <v>6262.536941</v>
      </c>
      <c r="H200" s="32"/>
      <c r="I200" s="34">
        <f t="shared" si="2"/>
        <v>29</v>
      </c>
      <c r="J200" s="32"/>
      <c r="K200" s="28"/>
      <c r="L200" s="34">
        <f t="shared" si="4"/>
        <v>42261.04645</v>
      </c>
      <c r="M200" s="28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>
      <c r="A201" s="28"/>
      <c r="B201" s="19">
        <v>41474.0</v>
      </c>
      <c r="C201" s="20">
        <v>29.0</v>
      </c>
      <c r="D201" s="26">
        <v>200.0</v>
      </c>
      <c r="E201" s="34">
        <f t="shared" si="22"/>
        <v>6226.290323</v>
      </c>
      <c r="F201" s="34">
        <f t="shared" si="23"/>
        <v>0.8709677419</v>
      </c>
      <c r="G201" s="35">
        <f t="shared" si="24"/>
        <v>6274.619147</v>
      </c>
      <c r="H201" s="32"/>
      <c r="I201" s="34">
        <f t="shared" si="2"/>
        <v>29</v>
      </c>
      <c r="J201" s="32"/>
      <c r="K201" s="28"/>
      <c r="L201" s="34">
        <f t="shared" si="4"/>
        <v>42261.04645</v>
      </c>
      <c r="M201" s="28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>
      <c r="A202" s="28"/>
      <c r="B202" s="19">
        <v>41475.0</v>
      </c>
      <c r="C202" s="20">
        <v>29.0</v>
      </c>
      <c r="D202" s="26">
        <v>201.0</v>
      </c>
      <c r="E202" s="34">
        <f t="shared" si="22"/>
        <v>6226.290323</v>
      </c>
      <c r="F202" s="34">
        <f t="shared" si="23"/>
        <v>0.8387096774</v>
      </c>
      <c r="G202" s="35">
        <f t="shared" si="24"/>
        <v>6286.701353</v>
      </c>
      <c r="H202" s="32"/>
      <c r="I202" s="34">
        <f t="shared" si="2"/>
        <v>29</v>
      </c>
      <c r="J202" s="32"/>
      <c r="K202" s="28"/>
      <c r="L202" s="34">
        <f t="shared" si="4"/>
        <v>42261.04645</v>
      </c>
      <c r="M202" s="28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>
      <c r="A203" s="28"/>
      <c r="B203" s="19">
        <v>41476.0</v>
      </c>
      <c r="C203" s="20">
        <v>29.0</v>
      </c>
      <c r="D203" s="26">
        <v>202.0</v>
      </c>
      <c r="E203" s="34">
        <f t="shared" si="22"/>
        <v>6226.290323</v>
      </c>
      <c r="F203" s="34">
        <f t="shared" si="23"/>
        <v>0.8064516129</v>
      </c>
      <c r="G203" s="35">
        <f t="shared" si="24"/>
        <v>6298.783559</v>
      </c>
      <c r="H203" s="32"/>
      <c r="I203" s="34">
        <f t="shared" si="2"/>
        <v>29</v>
      </c>
      <c r="J203" s="32"/>
      <c r="K203" s="28"/>
      <c r="L203" s="34">
        <f t="shared" si="4"/>
        <v>42261.04645</v>
      </c>
      <c r="M203" s="28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>
      <c r="A204" s="28"/>
      <c r="B204" s="19">
        <v>41477.0</v>
      </c>
      <c r="C204" s="20">
        <v>29.0</v>
      </c>
      <c r="D204" s="26">
        <v>203.0</v>
      </c>
      <c r="E204" s="34">
        <f t="shared" si="22"/>
        <v>6226.290323</v>
      </c>
      <c r="F204" s="34">
        <f t="shared" si="23"/>
        <v>0.7741935484</v>
      </c>
      <c r="G204" s="35">
        <f t="shared" si="24"/>
        <v>6310.865765</v>
      </c>
      <c r="H204" s="32"/>
      <c r="I204" s="34">
        <f t="shared" si="2"/>
        <v>29</v>
      </c>
      <c r="J204" s="32"/>
      <c r="K204" s="28"/>
      <c r="L204" s="34">
        <f t="shared" si="4"/>
        <v>42261.04645</v>
      </c>
      <c r="M204" s="28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>
      <c r="A205" s="28"/>
      <c r="B205" s="19">
        <v>41478.0</v>
      </c>
      <c r="C205" s="20">
        <v>30.0</v>
      </c>
      <c r="D205" s="26">
        <v>204.0</v>
      </c>
      <c r="E205" s="34">
        <f t="shared" si="22"/>
        <v>6226.290323</v>
      </c>
      <c r="F205" s="34">
        <f t="shared" si="23"/>
        <v>0.7419354839</v>
      </c>
      <c r="G205" s="35">
        <f t="shared" si="24"/>
        <v>6322.947971</v>
      </c>
      <c r="H205" s="32"/>
      <c r="I205" s="34">
        <f t="shared" si="2"/>
        <v>30</v>
      </c>
      <c r="J205" s="35">
        <f>SUM(G205:G211)</f>
        <v>44514.36212</v>
      </c>
      <c r="K205" s="20">
        <v>44514.36212</v>
      </c>
      <c r="L205" s="34">
        <f t="shared" si="4"/>
        <v>42261.04645</v>
      </c>
      <c r="M205" s="20">
        <v>42261.04645</v>
      </c>
      <c r="N205" s="40">
        <v>12136.25897</v>
      </c>
      <c r="O205" s="40">
        <v>10215.75782</v>
      </c>
      <c r="P205" s="40">
        <v>2605.310937</v>
      </c>
      <c r="Q205" s="40">
        <v>18667.83562</v>
      </c>
      <c r="R205" s="39"/>
      <c r="S205" s="40">
        <v>10810.51919</v>
      </c>
      <c r="T205" s="40">
        <v>10054.63289</v>
      </c>
      <c r="U205" s="40">
        <v>2506.959008</v>
      </c>
      <c r="V205" s="40">
        <v>19124.83713</v>
      </c>
      <c r="W205" s="40">
        <v>1325.739787</v>
      </c>
      <c r="X205" s="40">
        <v>161.1249314</v>
      </c>
      <c r="Y205" s="40">
        <v>98.35192953</v>
      </c>
      <c r="Z205" s="40">
        <v>-457.0015108</v>
      </c>
    </row>
    <row r="206">
      <c r="A206" s="28"/>
      <c r="B206" s="19">
        <v>41479.0</v>
      </c>
      <c r="C206" s="20">
        <v>30.0</v>
      </c>
      <c r="D206" s="26">
        <v>205.0</v>
      </c>
      <c r="E206" s="34">
        <f t="shared" si="22"/>
        <v>6226.290323</v>
      </c>
      <c r="F206" s="34">
        <f t="shared" si="23"/>
        <v>0.7096774194</v>
      </c>
      <c r="G206" s="35">
        <f t="shared" si="24"/>
        <v>6335.030177</v>
      </c>
      <c r="H206" s="32"/>
      <c r="I206" s="34">
        <f t="shared" si="2"/>
        <v>30</v>
      </c>
      <c r="J206" s="32"/>
      <c r="K206" s="28"/>
      <c r="L206" s="34">
        <f t="shared" si="4"/>
        <v>42261.04645</v>
      </c>
      <c r="M206" s="28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>
      <c r="A207" s="28"/>
      <c r="B207" s="19">
        <v>41480.0</v>
      </c>
      <c r="C207" s="20">
        <v>30.0</v>
      </c>
      <c r="D207" s="26">
        <v>206.0</v>
      </c>
      <c r="E207" s="34">
        <f t="shared" si="22"/>
        <v>6226.290323</v>
      </c>
      <c r="F207" s="34">
        <f t="shared" si="23"/>
        <v>0.6774193548</v>
      </c>
      <c r="G207" s="35">
        <f t="shared" si="24"/>
        <v>6347.112383</v>
      </c>
      <c r="H207" s="32"/>
      <c r="I207" s="34">
        <f t="shared" si="2"/>
        <v>30</v>
      </c>
      <c r="J207" s="32"/>
      <c r="K207" s="28"/>
      <c r="L207" s="34">
        <f t="shared" si="4"/>
        <v>42261.04645</v>
      </c>
      <c r="M207" s="28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>
      <c r="A208" s="28"/>
      <c r="B208" s="19">
        <v>41481.0</v>
      </c>
      <c r="C208" s="20">
        <v>30.0</v>
      </c>
      <c r="D208" s="26">
        <v>207.0</v>
      </c>
      <c r="E208" s="34">
        <f t="shared" si="22"/>
        <v>6226.290323</v>
      </c>
      <c r="F208" s="34">
        <f t="shared" si="23"/>
        <v>0.6451612903</v>
      </c>
      <c r="G208" s="35">
        <f t="shared" si="24"/>
        <v>6359.194589</v>
      </c>
      <c r="H208" s="32"/>
      <c r="I208" s="34">
        <f t="shared" si="2"/>
        <v>30</v>
      </c>
      <c r="J208" s="32"/>
      <c r="K208" s="28"/>
      <c r="L208" s="34">
        <f t="shared" si="4"/>
        <v>42261.04645</v>
      </c>
      <c r="M208" s="28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>
      <c r="A209" s="28"/>
      <c r="B209" s="19">
        <v>41482.0</v>
      </c>
      <c r="C209" s="20">
        <v>30.0</v>
      </c>
      <c r="D209" s="26">
        <v>208.0</v>
      </c>
      <c r="E209" s="34">
        <f t="shared" si="22"/>
        <v>6226.290323</v>
      </c>
      <c r="F209" s="34">
        <f t="shared" si="23"/>
        <v>0.6129032258</v>
      </c>
      <c r="G209" s="35">
        <f t="shared" si="24"/>
        <v>6371.276795</v>
      </c>
      <c r="H209" s="32"/>
      <c r="I209" s="34">
        <f t="shared" si="2"/>
        <v>30</v>
      </c>
      <c r="J209" s="32"/>
      <c r="K209" s="28"/>
      <c r="L209" s="34">
        <f t="shared" si="4"/>
        <v>42261.04645</v>
      </c>
      <c r="M209" s="28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>
      <c r="A210" s="28"/>
      <c r="B210" s="19">
        <v>41483.0</v>
      </c>
      <c r="C210" s="20">
        <v>30.0</v>
      </c>
      <c r="D210" s="26">
        <v>209.0</v>
      </c>
      <c r="E210" s="34">
        <f t="shared" si="22"/>
        <v>6226.290323</v>
      </c>
      <c r="F210" s="34">
        <f t="shared" si="23"/>
        <v>0.5806451613</v>
      </c>
      <c r="G210" s="35">
        <f t="shared" si="24"/>
        <v>6383.359001</v>
      </c>
      <c r="H210" s="32"/>
      <c r="I210" s="34">
        <f t="shared" si="2"/>
        <v>30</v>
      </c>
      <c r="J210" s="32"/>
      <c r="K210" s="28"/>
      <c r="L210" s="34">
        <f t="shared" si="4"/>
        <v>42261.04645</v>
      </c>
      <c r="M210" s="28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>
      <c r="A211" s="28"/>
      <c r="B211" s="19">
        <v>41484.0</v>
      </c>
      <c r="C211" s="20">
        <v>30.0</v>
      </c>
      <c r="D211" s="26">
        <v>210.0</v>
      </c>
      <c r="E211" s="34">
        <f t="shared" si="22"/>
        <v>6226.290323</v>
      </c>
      <c r="F211" s="34">
        <f t="shared" si="23"/>
        <v>0.5483870968</v>
      </c>
      <c r="G211" s="35">
        <f t="shared" si="24"/>
        <v>6395.441207</v>
      </c>
      <c r="H211" s="32"/>
      <c r="I211" s="34">
        <f t="shared" si="2"/>
        <v>30</v>
      </c>
      <c r="J211" s="32"/>
      <c r="K211" s="28"/>
      <c r="L211" s="34">
        <f t="shared" si="4"/>
        <v>42261.04645</v>
      </c>
      <c r="M211" s="28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>
      <c r="A212" s="28"/>
      <c r="B212" s="19">
        <v>41485.0</v>
      </c>
      <c r="C212" s="20">
        <v>31.0</v>
      </c>
      <c r="D212" s="26">
        <v>211.0</v>
      </c>
      <c r="E212" s="34">
        <f t="shared" si="22"/>
        <v>6226.290323</v>
      </c>
      <c r="F212" s="34">
        <f t="shared" si="23"/>
        <v>0.5161290323</v>
      </c>
      <c r="G212" s="35">
        <f t="shared" si="24"/>
        <v>6407.523413</v>
      </c>
      <c r="H212" s="32"/>
      <c r="I212" s="34">
        <f t="shared" si="2"/>
        <v>31</v>
      </c>
      <c r="J212" s="35">
        <f>SUM(G212:G218)</f>
        <v>45106.39022</v>
      </c>
      <c r="K212" s="20">
        <v>45106.39022</v>
      </c>
      <c r="L212" s="34">
        <f t="shared" si="4"/>
        <v>42261.04645</v>
      </c>
      <c r="M212" s="20">
        <v>42261.04645</v>
      </c>
      <c r="N212" s="40">
        <v>12353.45173</v>
      </c>
      <c r="O212" s="40">
        <v>10903.4449</v>
      </c>
      <c r="P212" s="40">
        <v>2679.604127</v>
      </c>
      <c r="Q212" s="40">
        <v>19087.51086</v>
      </c>
      <c r="R212" s="39"/>
      <c r="S212" s="40">
        <v>10957.22533</v>
      </c>
      <c r="T212" s="40">
        <v>9775.560217</v>
      </c>
      <c r="U212" s="40">
        <v>2639.126166</v>
      </c>
      <c r="V212" s="40">
        <v>18151.95979</v>
      </c>
      <c r="W212" s="40">
        <v>1396.226401</v>
      </c>
      <c r="X212" s="40">
        <v>1127.884681</v>
      </c>
      <c r="Y212" s="40">
        <v>40.47796057</v>
      </c>
      <c r="Z212" s="40">
        <v>935.5510644</v>
      </c>
    </row>
    <row r="213">
      <c r="A213" s="28"/>
      <c r="B213" s="19">
        <v>41486.0</v>
      </c>
      <c r="C213" s="20">
        <v>31.0</v>
      </c>
      <c r="D213" s="26">
        <v>212.0</v>
      </c>
      <c r="E213" s="34">
        <f t="shared" si="22"/>
        <v>6226.290323</v>
      </c>
      <c r="F213" s="34">
        <f t="shared" si="23"/>
        <v>0.4838709677</v>
      </c>
      <c r="G213" s="35">
        <f t="shared" si="24"/>
        <v>6419.605619</v>
      </c>
      <c r="H213" s="32"/>
      <c r="I213" s="34">
        <f t="shared" si="2"/>
        <v>31</v>
      </c>
      <c r="J213" s="32"/>
      <c r="K213" s="28"/>
      <c r="L213" s="34">
        <f t="shared" si="4"/>
        <v>42261.04645</v>
      </c>
      <c r="M213" s="28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>
      <c r="A214" s="28"/>
      <c r="B214" s="19">
        <v>41487.0</v>
      </c>
      <c r="C214" s="20">
        <v>31.0</v>
      </c>
      <c r="D214" s="26">
        <v>213.0</v>
      </c>
      <c r="E214" s="34">
        <f>A216/31</f>
        <v>6600.83871</v>
      </c>
      <c r="F214" s="34">
        <f t="shared" si="23"/>
        <v>0.4516129032</v>
      </c>
      <c r="G214" s="35">
        <f t="shared" si="24"/>
        <v>6431.687825</v>
      </c>
      <c r="H214" s="32"/>
      <c r="I214" s="34">
        <f t="shared" si="2"/>
        <v>31</v>
      </c>
      <c r="J214" s="32"/>
      <c r="K214" s="28"/>
      <c r="L214" s="34">
        <f t="shared" si="4"/>
        <v>42261.04645</v>
      </c>
      <c r="M214" s="28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>
      <c r="A215" s="13" t="s">
        <v>71</v>
      </c>
      <c r="B215" s="19">
        <v>41488.0</v>
      </c>
      <c r="C215" s="20">
        <v>31.0</v>
      </c>
      <c r="D215" s="26">
        <v>214.0</v>
      </c>
      <c r="E215" s="34">
        <f>A216/31</f>
        <v>6600.83871</v>
      </c>
      <c r="F215" s="34">
        <f t="shared" si="23"/>
        <v>0.4193548387</v>
      </c>
      <c r="G215" s="35">
        <f t="shared" si="24"/>
        <v>6443.770031</v>
      </c>
      <c r="H215" s="32"/>
      <c r="I215" s="34">
        <f t="shared" si="2"/>
        <v>31</v>
      </c>
      <c r="J215" s="32"/>
      <c r="K215" s="28"/>
      <c r="L215" s="34">
        <f t="shared" si="4"/>
        <v>42261.04645</v>
      </c>
      <c r="M215" s="28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>
      <c r="A216" s="20">
        <v>204626.0</v>
      </c>
      <c r="B216" s="19">
        <v>41489.0</v>
      </c>
      <c r="C216" s="20">
        <v>31.0</v>
      </c>
      <c r="D216" s="26">
        <v>215.0</v>
      </c>
      <c r="E216" s="34">
        <f t="shared" ref="E216:E244" si="25">E215</f>
        <v>6600.83871</v>
      </c>
      <c r="F216" s="34">
        <f t="shared" si="23"/>
        <v>0.3870967742</v>
      </c>
      <c r="G216" s="35">
        <f t="shared" si="24"/>
        <v>6455.852237</v>
      </c>
      <c r="H216" s="32"/>
      <c r="I216" s="34">
        <f t="shared" si="2"/>
        <v>31</v>
      </c>
      <c r="J216" s="32"/>
      <c r="K216" s="28"/>
      <c r="L216" s="34">
        <f t="shared" si="4"/>
        <v>42261.04645</v>
      </c>
      <c r="M216" s="28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>
      <c r="A217" s="28"/>
      <c r="B217" s="19">
        <v>41490.0</v>
      </c>
      <c r="C217" s="20">
        <v>31.0</v>
      </c>
      <c r="D217" s="26">
        <v>216.0</v>
      </c>
      <c r="E217" s="34">
        <f t="shared" si="25"/>
        <v>6600.83871</v>
      </c>
      <c r="F217" s="34">
        <f t="shared" si="23"/>
        <v>0.3548387097</v>
      </c>
      <c r="G217" s="35">
        <f t="shared" si="24"/>
        <v>6467.934443</v>
      </c>
      <c r="H217" s="32"/>
      <c r="I217" s="34">
        <f t="shared" si="2"/>
        <v>31</v>
      </c>
      <c r="J217" s="32"/>
      <c r="K217" s="28"/>
      <c r="L217" s="34">
        <f t="shared" si="4"/>
        <v>42261.04645</v>
      </c>
      <c r="M217" s="28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>
      <c r="A218" s="28"/>
      <c r="B218" s="19">
        <v>41491.0</v>
      </c>
      <c r="C218" s="20">
        <v>31.0</v>
      </c>
      <c r="D218" s="26">
        <v>217.0</v>
      </c>
      <c r="E218" s="34">
        <f t="shared" si="25"/>
        <v>6600.83871</v>
      </c>
      <c r="F218" s="34">
        <f t="shared" si="23"/>
        <v>0.3225806452</v>
      </c>
      <c r="G218" s="35">
        <f t="shared" si="24"/>
        <v>6480.016649</v>
      </c>
      <c r="H218" s="32"/>
      <c r="I218" s="34">
        <f t="shared" si="2"/>
        <v>31</v>
      </c>
      <c r="J218" s="32"/>
      <c r="K218" s="28"/>
      <c r="L218" s="34">
        <f t="shared" si="4"/>
        <v>42261.04645</v>
      </c>
      <c r="M218" s="28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>
      <c r="A219" s="28"/>
      <c r="B219" s="19">
        <v>41492.0</v>
      </c>
      <c r="C219" s="20">
        <v>32.0</v>
      </c>
      <c r="D219" s="26">
        <v>218.0</v>
      </c>
      <c r="E219" s="34">
        <f t="shared" si="25"/>
        <v>6600.83871</v>
      </c>
      <c r="F219" s="34">
        <f t="shared" si="23"/>
        <v>0.2903225806</v>
      </c>
      <c r="G219" s="35">
        <f t="shared" si="24"/>
        <v>6492.098855</v>
      </c>
      <c r="H219" s="32"/>
      <c r="I219" s="34">
        <f t="shared" si="2"/>
        <v>32</v>
      </c>
      <c r="J219" s="35">
        <f>SUM(G219:G225)</f>
        <v>45698.41831</v>
      </c>
      <c r="K219" s="20">
        <v>45698.41831</v>
      </c>
      <c r="L219" s="34">
        <f t="shared" si="4"/>
        <v>42261.04645</v>
      </c>
      <c r="M219" s="20">
        <v>42261.04645</v>
      </c>
      <c r="N219" s="40">
        <v>12600.70511</v>
      </c>
      <c r="O219" s="40">
        <v>10552.30301</v>
      </c>
      <c r="P219" s="40">
        <v>2884.768988</v>
      </c>
      <c r="Q219" s="40">
        <v>20707.36892</v>
      </c>
      <c r="R219" s="39"/>
      <c r="S219" s="40">
        <v>10968.44914</v>
      </c>
      <c r="T219" s="40">
        <v>9771.81334</v>
      </c>
      <c r="U219" s="40">
        <v>2595.04614</v>
      </c>
      <c r="V219" s="40">
        <v>19084.53203</v>
      </c>
      <c r="W219" s="40">
        <v>1632.255973</v>
      </c>
      <c r="X219" s="40">
        <v>780.4896732</v>
      </c>
      <c r="Y219" s="40">
        <v>289.7228486</v>
      </c>
      <c r="Z219" s="40">
        <v>1622.836885</v>
      </c>
    </row>
    <row r="220">
      <c r="A220" s="28"/>
      <c r="B220" s="19">
        <v>41493.0</v>
      </c>
      <c r="C220" s="20">
        <v>32.0</v>
      </c>
      <c r="D220" s="26">
        <v>219.0</v>
      </c>
      <c r="E220" s="34">
        <f t="shared" si="25"/>
        <v>6600.83871</v>
      </c>
      <c r="F220" s="34">
        <f t="shared" si="23"/>
        <v>0.2580645161</v>
      </c>
      <c r="G220" s="35">
        <f t="shared" si="24"/>
        <v>6504.181061</v>
      </c>
      <c r="H220" s="32"/>
      <c r="I220" s="34">
        <f t="shared" si="2"/>
        <v>32</v>
      </c>
      <c r="J220" s="32"/>
      <c r="K220" s="28"/>
      <c r="L220" s="34">
        <f t="shared" si="4"/>
        <v>42261.04645</v>
      </c>
      <c r="M220" s="28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>
      <c r="A221" s="28"/>
      <c r="B221" s="19">
        <v>41494.0</v>
      </c>
      <c r="C221" s="20">
        <v>32.0</v>
      </c>
      <c r="D221" s="26">
        <v>220.0</v>
      </c>
      <c r="E221" s="34">
        <f t="shared" si="25"/>
        <v>6600.83871</v>
      </c>
      <c r="F221" s="34">
        <f t="shared" si="23"/>
        <v>0.2258064516</v>
      </c>
      <c r="G221" s="35">
        <f t="shared" si="24"/>
        <v>6516.263267</v>
      </c>
      <c r="H221" s="32"/>
      <c r="I221" s="34">
        <f t="shared" si="2"/>
        <v>32</v>
      </c>
      <c r="J221" s="32"/>
      <c r="K221" s="28"/>
      <c r="L221" s="34">
        <f t="shared" si="4"/>
        <v>42261.04645</v>
      </c>
      <c r="M221" s="28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>
      <c r="A222" s="28"/>
      <c r="B222" s="19">
        <v>41495.0</v>
      </c>
      <c r="C222" s="20">
        <v>32.0</v>
      </c>
      <c r="D222" s="26">
        <v>221.0</v>
      </c>
      <c r="E222" s="34">
        <f t="shared" si="25"/>
        <v>6600.83871</v>
      </c>
      <c r="F222" s="34">
        <f t="shared" si="23"/>
        <v>0.1935483871</v>
      </c>
      <c r="G222" s="35">
        <f t="shared" si="24"/>
        <v>6528.345473</v>
      </c>
      <c r="H222" s="32"/>
      <c r="I222" s="34">
        <f t="shared" si="2"/>
        <v>32</v>
      </c>
      <c r="J222" s="32"/>
      <c r="K222" s="28"/>
      <c r="L222" s="34">
        <f t="shared" si="4"/>
        <v>42261.04645</v>
      </c>
      <c r="M222" s="28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>
      <c r="A223" s="28"/>
      <c r="B223" s="19">
        <v>41496.0</v>
      </c>
      <c r="C223" s="20">
        <v>32.0</v>
      </c>
      <c r="D223" s="26">
        <v>222.0</v>
      </c>
      <c r="E223" s="34">
        <f t="shared" si="25"/>
        <v>6600.83871</v>
      </c>
      <c r="F223" s="34">
        <f t="shared" si="23"/>
        <v>0.1612903226</v>
      </c>
      <c r="G223" s="35">
        <f t="shared" si="24"/>
        <v>6540.42768</v>
      </c>
      <c r="H223" s="32"/>
      <c r="I223" s="34">
        <f t="shared" si="2"/>
        <v>32</v>
      </c>
      <c r="J223" s="32"/>
      <c r="K223" s="28"/>
      <c r="L223" s="34">
        <f t="shared" si="4"/>
        <v>42261.04645</v>
      </c>
      <c r="M223" s="28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>
      <c r="A224" s="28"/>
      <c r="B224" s="19">
        <v>41497.0</v>
      </c>
      <c r="C224" s="20">
        <v>32.0</v>
      </c>
      <c r="D224" s="26">
        <v>223.0</v>
      </c>
      <c r="E224" s="34">
        <f t="shared" si="25"/>
        <v>6600.83871</v>
      </c>
      <c r="F224" s="34">
        <f t="shared" si="23"/>
        <v>0.1290322581</v>
      </c>
      <c r="G224" s="35">
        <f t="shared" si="24"/>
        <v>6552.509886</v>
      </c>
      <c r="H224" s="32"/>
      <c r="I224" s="34">
        <f t="shared" si="2"/>
        <v>32</v>
      </c>
      <c r="J224" s="32"/>
      <c r="K224" s="28"/>
      <c r="L224" s="34">
        <f t="shared" si="4"/>
        <v>42261.04645</v>
      </c>
      <c r="M224" s="28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>
      <c r="A225" s="28"/>
      <c r="B225" s="19">
        <v>41498.0</v>
      </c>
      <c r="C225" s="20">
        <v>32.0</v>
      </c>
      <c r="D225" s="26">
        <v>224.0</v>
      </c>
      <c r="E225" s="34">
        <f t="shared" si="25"/>
        <v>6600.83871</v>
      </c>
      <c r="F225" s="34">
        <f t="shared" si="23"/>
        <v>0.09677419355</v>
      </c>
      <c r="G225" s="35">
        <f t="shared" si="24"/>
        <v>6564.592092</v>
      </c>
      <c r="H225" s="32"/>
      <c r="I225" s="34">
        <f t="shared" si="2"/>
        <v>32</v>
      </c>
      <c r="J225" s="32"/>
      <c r="K225" s="28"/>
      <c r="L225" s="34">
        <f t="shared" si="4"/>
        <v>42261.04645</v>
      </c>
      <c r="M225" s="28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>
      <c r="A226" s="28"/>
      <c r="B226" s="19">
        <v>41499.0</v>
      </c>
      <c r="C226" s="20">
        <v>33.0</v>
      </c>
      <c r="D226" s="26">
        <v>225.0</v>
      </c>
      <c r="E226" s="34">
        <f t="shared" si="25"/>
        <v>6600.83871</v>
      </c>
      <c r="F226" s="34">
        <f t="shared" si="23"/>
        <v>0.06451612903</v>
      </c>
      <c r="G226" s="35">
        <f t="shared" si="24"/>
        <v>6576.674298</v>
      </c>
      <c r="H226" s="32"/>
      <c r="I226" s="34">
        <f t="shared" si="2"/>
        <v>33</v>
      </c>
      <c r="J226" s="35">
        <f>SUM(G226:G232)</f>
        <v>46148.83767</v>
      </c>
      <c r="K226" s="20">
        <v>46148.83767</v>
      </c>
      <c r="L226" s="34">
        <f t="shared" si="4"/>
        <v>42261.04645</v>
      </c>
      <c r="M226" s="20">
        <v>42261.04645</v>
      </c>
      <c r="N226" s="40">
        <v>11747.87586</v>
      </c>
      <c r="O226" s="40">
        <v>11167.55871</v>
      </c>
      <c r="P226" s="40">
        <v>2775.319778</v>
      </c>
      <c r="Q226" s="40">
        <v>20547.0897</v>
      </c>
      <c r="R226" s="39"/>
      <c r="S226" s="40">
        <v>11713.76996</v>
      </c>
      <c r="T226" s="40">
        <v>9658.914486</v>
      </c>
      <c r="U226" s="40">
        <v>2533.358334</v>
      </c>
      <c r="V226" s="40">
        <v>19141.58011</v>
      </c>
      <c r="W226" s="40">
        <v>34.10589913</v>
      </c>
      <c r="X226" s="40">
        <v>1508.644225</v>
      </c>
      <c r="Y226" s="40">
        <v>241.9614443</v>
      </c>
      <c r="Z226" s="40">
        <v>1405.509595</v>
      </c>
    </row>
    <row r="227">
      <c r="A227" s="28"/>
      <c r="B227" s="19">
        <v>41500.0</v>
      </c>
      <c r="C227" s="20">
        <v>33.0</v>
      </c>
      <c r="D227" s="26">
        <v>226.0</v>
      </c>
      <c r="E227" s="34">
        <f t="shared" si="25"/>
        <v>6600.83871</v>
      </c>
      <c r="F227" s="34">
        <f t="shared" si="23"/>
        <v>0.03225806452</v>
      </c>
      <c r="G227" s="35">
        <f t="shared" si="24"/>
        <v>6588.756504</v>
      </c>
      <c r="H227" s="32"/>
      <c r="I227" s="34">
        <f t="shared" si="2"/>
        <v>33</v>
      </c>
      <c r="J227" s="32"/>
      <c r="K227" s="28"/>
      <c r="L227" s="34">
        <f t="shared" si="4"/>
        <v>42261.04645</v>
      </c>
      <c r="M227" s="28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>
      <c r="A228" s="28"/>
      <c r="B228" s="19">
        <v>41501.0</v>
      </c>
      <c r="C228" s="20">
        <v>33.0</v>
      </c>
      <c r="D228" s="26">
        <v>227.0</v>
      </c>
      <c r="E228" s="34">
        <f t="shared" si="25"/>
        <v>6600.83871</v>
      </c>
      <c r="F228" s="34">
        <f t="shared" si="23"/>
        <v>0</v>
      </c>
      <c r="G228" s="35">
        <f t="shared" si="24"/>
        <v>6600.83871</v>
      </c>
      <c r="H228" s="32"/>
      <c r="I228" s="34">
        <f t="shared" si="2"/>
        <v>33</v>
      </c>
      <c r="J228" s="32"/>
      <c r="K228" s="28"/>
      <c r="L228" s="34">
        <f t="shared" si="4"/>
        <v>42261.04645</v>
      </c>
      <c r="M228" s="28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>
      <c r="A229" s="13"/>
      <c r="B229" s="19">
        <v>41502.0</v>
      </c>
      <c r="C229" s="20">
        <v>33.0</v>
      </c>
      <c r="D229" s="26">
        <v>228.0</v>
      </c>
      <c r="E229" s="34">
        <f t="shared" si="25"/>
        <v>6600.83871</v>
      </c>
      <c r="F229" s="34">
        <f t="shared" ref="F229:F259" si="26">abs((D229-258)/(258-227))</f>
        <v>0.9677419355</v>
      </c>
      <c r="G229" s="35">
        <f t="shared" si="24"/>
        <v>6598.760042</v>
      </c>
      <c r="H229" s="32"/>
      <c r="I229" s="34">
        <f t="shared" si="2"/>
        <v>33</v>
      </c>
      <c r="J229" s="32"/>
      <c r="K229" s="28"/>
      <c r="L229" s="34">
        <f t="shared" si="4"/>
        <v>42261.04645</v>
      </c>
      <c r="M229" s="28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>
      <c r="A230" s="13"/>
      <c r="B230" s="19">
        <v>41503.0</v>
      </c>
      <c r="C230" s="20">
        <v>33.0</v>
      </c>
      <c r="D230" s="26">
        <v>229.0</v>
      </c>
      <c r="E230" s="34">
        <f t="shared" si="25"/>
        <v>6600.83871</v>
      </c>
      <c r="F230" s="34">
        <f t="shared" si="26"/>
        <v>0.935483871</v>
      </c>
      <c r="G230" s="35">
        <f t="shared" si="24"/>
        <v>6596.681374</v>
      </c>
      <c r="H230" s="32"/>
      <c r="I230" s="34">
        <f t="shared" si="2"/>
        <v>33</v>
      </c>
      <c r="J230" s="32"/>
      <c r="K230" s="28"/>
      <c r="L230" s="34">
        <f t="shared" si="4"/>
        <v>42261.04645</v>
      </c>
      <c r="M230" s="28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>
      <c r="A231" s="28"/>
      <c r="B231" s="19">
        <v>41504.0</v>
      </c>
      <c r="C231" s="20">
        <v>33.0</v>
      </c>
      <c r="D231" s="26">
        <v>230.0</v>
      </c>
      <c r="E231" s="34">
        <f t="shared" si="25"/>
        <v>6600.83871</v>
      </c>
      <c r="F231" s="34">
        <f t="shared" si="26"/>
        <v>0.9032258065</v>
      </c>
      <c r="G231" s="35">
        <f t="shared" si="24"/>
        <v>6594.602706</v>
      </c>
      <c r="H231" s="32"/>
      <c r="I231" s="34">
        <f t="shared" si="2"/>
        <v>33</v>
      </c>
      <c r="J231" s="32"/>
      <c r="K231" s="28"/>
      <c r="L231" s="34">
        <f t="shared" si="4"/>
        <v>42261.04645</v>
      </c>
      <c r="M231" s="28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>
      <c r="A232" s="28"/>
      <c r="B232" s="19">
        <v>41505.0</v>
      </c>
      <c r="C232" s="20">
        <v>33.0</v>
      </c>
      <c r="D232" s="26">
        <v>231.0</v>
      </c>
      <c r="E232" s="34">
        <f t="shared" si="25"/>
        <v>6600.83871</v>
      </c>
      <c r="F232" s="34">
        <f t="shared" si="26"/>
        <v>0.8709677419</v>
      </c>
      <c r="G232" s="35">
        <f t="shared" si="24"/>
        <v>6592.524037</v>
      </c>
      <c r="H232" s="32"/>
      <c r="I232" s="34">
        <f t="shared" si="2"/>
        <v>33</v>
      </c>
      <c r="J232" s="32"/>
      <c r="K232" s="28"/>
      <c r="L232" s="34">
        <f t="shared" si="4"/>
        <v>42261.04645</v>
      </c>
      <c r="M232" s="28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>
      <c r="A233" s="28"/>
      <c r="B233" s="19">
        <v>41506.0</v>
      </c>
      <c r="C233" s="20">
        <v>34.0</v>
      </c>
      <c r="D233" s="26">
        <v>232.0</v>
      </c>
      <c r="E233" s="34">
        <f t="shared" si="25"/>
        <v>6600.83871</v>
      </c>
      <c r="F233" s="34">
        <f t="shared" si="26"/>
        <v>0.8387096774</v>
      </c>
      <c r="G233" s="35">
        <f t="shared" si="24"/>
        <v>6590.445369</v>
      </c>
      <c r="H233" s="32"/>
      <c r="I233" s="34">
        <f t="shared" si="2"/>
        <v>34</v>
      </c>
      <c r="J233" s="35">
        <f>SUM(G233:G239)</f>
        <v>46089.46556</v>
      </c>
      <c r="K233" s="20">
        <v>46089.46556</v>
      </c>
      <c r="L233" s="34">
        <f t="shared" si="4"/>
        <v>42261.04645</v>
      </c>
      <c r="M233" s="20">
        <v>42261.04645</v>
      </c>
      <c r="N233" s="40">
        <v>12705.96164</v>
      </c>
      <c r="O233" s="40">
        <v>10515.53537</v>
      </c>
      <c r="P233" s="40">
        <v>2870.698141</v>
      </c>
      <c r="Q233" s="40">
        <v>20012.58451</v>
      </c>
      <c r="R233" s="39"/>
      <c r="S233" s="40">
        <v>11287.99073</v>
      </c>
      <c r="T233" s="40">
        <v>10027.67532</v>
      </c>
      <c r="U233" s="40">
        <v>2561.286</v>
      </c>
      <c r="V233" s="40">
        <v>18301.55122</v>
      </c>
      <c r="W233" s="40">
        <v>1417.97091</v>
      </c>
      <c r="X233" s="40">
        <v>487.8600429</v>
      </c>
      <c r="Y233" s="40">
        <v>309.4121414</v>
      </c>
      <c r="Z233" s="40">
        <v>1711.033293</v>
      </c>
    </row>
    <row r="234">
      <c r="A234" s="28"/>
      <c r="B234" s="19">
        <v>41507.0</v>
      </c>
      <c r="C234" s="20">
        <v>34.0</v>
      </c>
      <c r="D234" s="26">
        <v>233.0</v>
      </c>
      <c r="E234" s="34">
        <f t="shared" si="25"/>
        <v>6600.83871</v>
      </c>
      <c r="F234" s="34">
        <f t="shared" si="26"/>
        <v>0.8064516129</v>
      </c>
      <c r="G234" s="35">
        <f t="shared" si="24"/>
        <v>6588.366701</v>
      </c>
      <c r="H234" s="32"/>
      <c r="I234" s="34">
        <f t="shared" si="2"/>
        <v>34</v>
      </c>
      <c r="J234" s="32"/>
      <c r="K234" s="28"/>
      <c r="L234" s="34">
        <f t="shared" si="4"/>
        <v>42261.04645</v>
      </c>
      <c r="M234" s="28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>
      <c r="A235" s="28"/>
      <c r="B235" s="19">
        <v>41508.0</v>
      </c>
      <c r="C235" s="20">
        <v>34.0</v>
      </c>
      <c r="D235" s="26">
        <v>234.0</v>
      </c>
      <c r="E235" s="34">
        <f t="shared" si="25"/>
        <v>6600.83871</v>
      </c>
      <c r="F235" s="34">
        <f t="shared" si="26"/>
        <v>0.7741935484</v>
      </c>
      <c r="G235" s="35">
        <f t="shared" si="24"/>
        <v>6586.288033</v>
      </c>
      <c r="H235" s="32"/>
      <c r="I235" s="34">
        <f t="shared" si="2"/>
        <v>34</v>
      </c>
      <c r="J235" s="32"/>
      <c r="K235" s="28"/>
      <c r="L235" s="34">
        <f t="shared" si="4"/>
        <v>42261.04645</v>
      </c>
      <c r="M235" s="28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>
      <c r="A236" s="28"/>
      <c r="B236" s="19">
        <v>41509.0</v>
      </c>
      <c r="C236" s="20">
        <v>34.0</v>
      </c>
      <c r="D236" s="26">
        <v>235.0</v>
      </c>
      <c r="E236" s="34">
        <f t="shared" si="25"/>
        <v>6600.83871</v>
      </c>
      <c r="F236" s="34">
        <f t="shared" si="26"/>
        <v>0.7419354839</v>
      </c>
      <c r="G236" s="35">
        <f t="shared" si="24"/>
        <v>6584.209365</v>
      </c>
      <c r="H236" s="32"/>
      <c r="I236" s="34">
        <f t="shared" si="2"/>
        <v>34</v>
      </c>
      <c r="J236" s="32"/>
      <c r="K236" s="28"/>
      <c r="L236" s="34">
        <f t="shared" si="4"/>
        <v>42261.04645</v>
      </c>
      <c r="M236" s="28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>
      <c r="A237" s="28"/>
      <c r="B237" s="19">
        <v>41510.0</v>
      </c>
      <c r="C237" s="20">
        <v>34.0</v>
      </c>
      <c r="D237" s="26">
        <v>236.0</v>
      </c>
      <c r="E237" s="34">
        <f t="shared" si="25"/>
        <v>6600.83871</v>
      </c>
      <c r="F237" s="34">
        <f t="shared" si="26"/>
        <v>0.7096774194</v>
      </c>
      <c r="G237" s="35">
        <f t="shared" si="24"/>
        <v>6582.130697</v>
      </c>
      <c r="H237" s="32"/>
      <c r="I237" s="34">
        <f t="shared" si="2"/>
        <v>34</v>
      </c>
      <c r="J237" s="32"/>
      <c r="K237" s="28"/>
      <c r="L237" s="34">
        <f t="shared" si="4"/>
        <v>42261.04645</v>
      </c>
      <c r="M237" s="28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>
      <c r="A238" s="28"/>
      <c r="B238" s="19">
        <v>41511.0</v>
      </c>
      <c r="C238" s="20">
        <v>34.0</v>
      </c>
      <c r="D238" s="26">
        <v>237.0</v>
      </c>
      <c r="E238" s="34">
        <f t="shared" si="25"/>
        <v>6600.83871</v>
      </c>
      <c r="F238" s="34">
        <f t="shared" si="26"/>
        <v>0.6774193548</v>
      </c>
      <c r="G238" s="35">
        <f t="shared" si="24"/>
        <v>6580.052029</v>
      </c>
      <c r="H238" s="32"/>
      <c r="I238" s="34">
        <f t="shared" si="2"/>
        <v>34</v>
      </c>
      <c r="J238" s="32"/>
      <c r="K238" s="28"/>
      <c r="L238" s="34">
        <f t="shared" si="4"/>
        <v>42261.04645</v>
      </c>
      <c r="M238" s="28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>
      <c r="A239" s="28"/>
      <c r="B239" s="19">
        <v>41512.0</v>
      </c>
      <c r="C239" s="20">
        <v>34.0</v>
      </c>
      <c r="D239" s="26">
        <v>238.0</v>
      </c>
      <c r="E239" s="34">
        <f t="shared" si="25"/>
        <v>6600.83871</v>
      </c>
      <c r="F239" s="34">
        <f t="shared" si="26"/>
        <v>0.6451612903</v>
      </c>
      <c r="G239" s="35">
        <f t="shared" si="24"/>
        <v>6577.973361</v>
      </c>
      <c r="H239" s="32"/>
      <c r="I239" s="34">
        <f t="shared" si="2"/>
        <v>34</v>
      </c>
      <c r="J239" s="32"/>
      <c r="K239" s="28"/>
      <c r="L239" s="34">
        <f t="shared" si="4"/>
        <v>42261.04645</v>
      </c>
      <c r="M239" s="28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>
      <c r="A240" s="28"/>
      <c r="B240" s="19">
        <v>41513.0</v>
      </c>
      <c r="C240" s="20">
        <v>35.0</v>
      </c>
      <c r="D240" s="26">
        <v>239.0</v>
      </c>
      <c r="E240" s="34">
        <f t="shared" si="25"/>
        <v>6600.83871</v>
      </c>
      <c r="F240" s="34">
        <f t="shared" si="26"/>
        <v>0.6129032258</v>
      </c>
      <c r="G240" s="35">
        <f t="shared" si="24"/>
        <v>6575.894693</v>
      </c>
      <c r="H240" s="32"/>
      <c r="I240" s="34">
        <f t="shared" si="2"/>
        <v>35</v>
      </c>
      <c r="J240" s="35">
        <f>SUM(G240:G246)</f>
        <v>45987.61082</v>
      </c>
      <c r="K240" s="20">
        <v>45987.61082</v>
      </c>
      <c r="L240" s="34">
        <f t="shared" si="4"/>
        <v>42261.04645</v>
      </c>
      <c r="M240" s="20">
        <v>42261.04645</v>
      </c>
      <c r="N240" s="40">
        <v>11836.0755</v>
      </c>
      <c r="O240" s="40">
        <v>10583.80719</v>
      </c>
      <c r="P240" s="40">
        <v>2695.737319</v>
      </c>
      <c r="Q240" s="40">
        <v>20913.52242</v>
      </c>
      <c r="R240" s="39"/>
      <c r="S240" s="40">
        <v>10994.02785</v>
      </c>
      <c r="T240" s="40">
        <v>10402.27761</v>
      </c>
      <c r="U240" s="40">
        <v>2567.42883</v>
      </c>
      <c r="V240" s="40">
        <v>19254.07226</v>
      </c>
      <c r="W240" s="40">
        <v>842.0476499</v>
      </c>
      <c r="X240" s="40">
        <v>181.5295836</v>
      </c>
      <c r="Y240" s="40">
        <v>128.3084892</v>
      </c>
      <c r="Z240" s="40">
        <v>1659.450157</v>
      </c>
    </row>
    <row r="241">
      <c r="A241" s="28"/>
      <c r="B241" s="19">
        <v>41514.0</v>
      </c>
      <c r="C241" s="20">
        <v>35.0</v>
      </c>
      <c r="D241" s="26">
        <v>240.0</v>
      </c>
      <c r="E241" s="34">
        <f t="shared" si="25"/>
        <v>6600.83871</v>
      </c>
      <c r="F241" s="34">
        <f t="shared" si="26"/>
        <v>0.5806451613</v>
      </c>
      <c r="G241" s="35">
        <f t="shared" si="24"/>
        <v>6573.816025</v>
      </c>
      <c r="H241" s="32"/>
      <c r="I241" s="34">
        <f t="shared" si="2"/>
        <v>35</v>
      </c>
      <c r="J241" s="32"/>
      <c r="K241" s="28"/>
      <c r="L241" s="34">
        <f t="shared" si="4"/>
        <v>42261.04645</v>
      </c>
      <c r="M241" s="28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>
      <c r="A242" s="28"/>
      <c r="B242" s="19">
        <v>41515.0</v>
      </c>
      <c r="C242" s="20">
        <v>35.0</v>
      </c>
      <c r="D242" s="26">
        <v>241.0</v>
      </c>
      <c r="E242" s="34">
        <f t="shared" si="25"/>
        <v>6600.83871</v>
      </c>
      <c r="F242" s="34">
        <f t="shared" si="26"/>
        <v>0.5483870968</v>
      </c>
      <c r="G242" s="35">
        <f t="shared" si="24"/>
        <v>6571.737357</v>
      </c>
      <c r="H242" s="32"/>
      <c r="I242" s="34">
        <f t="shared" si="2"/>
        <v>35</v>
      </c>
      <c r="J242" s="32"/>
      <c r="K242" s="28"/>
      <c r="L242" s="34">
        <f t="shared" si="4"/>
        <v>42261.04645</v>
      </c>
      <c r="M242" s="28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>
      <c r="A243" s="28"/>
      <c r="B243" s="19">
        <v>41516.0</v>
      </c>
      <c r="C243" s="20">
        <v>35.0</v>
      </c>
      <c r="D243" s="26">
        <v>242.0</v>
      </c>
      <c r="E243" s="34">
        <f t="shared" si="25"/>
        <v>6600.83871</v>
      </c>
      <c r="F243" s="34">
        <f t="shared" si="26"/>
        <v>0.5161290323</v>
      </c>
      <c r="G243" s="35">
        <f t="shared" si="24"/>
        <v>6569.658689</v>
      </c>
      <c r="H243" s="32"/>
      <c r="I243" s="34">
        <f t="shared" si="2"/>
        <v>35</v>
      </c>
      <c r="J243" s="32"/>
      <c r="K243" s="28"/>
      <c r="L243" s="34">
        <f t="shared" si="4"/>
        <v>42261.04645</v>
      </c>
      <c r="M243" s="28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>
      <c r="A244" s="28"/>
      <c r="B244" s="19">
        <v>41517.0</v>
      </c>
      <c r="C244" s="20">
        <v>35.0</v>
      </c>
      <c r="D244" s="26">
        <v>243.0</v>
      </c>
      <c r="E244" s="34">
        <f t="shared" si="25"/>
        <v>6600.83871</v>
      </c>
      <c r="F244" s="34">
        <f t="shared" si="26"/>
        <v>0.4838709677</v>
      </c>
      <c r="G244" s="35">
        <f t="shared" si="24"/>
        <v>6567.580021</v>
      </c>
      <c r="H244" s="32"/>
      <c r="I244" s="34">
        <f t="shared" si="2"/>
        <v>35</v>
      </c>
      <c r="J244" s="32"/>
      <c r="K244" s="28"/>
      <c r="L244" s="34">
        <f t="shared" si="4"/>
        <v>42261.04645</v>
      </c>
      <c r="M244" s="28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>
      <c r="A245" s="28"/>
      <c r="B245" s="19">
        <v>41518.0</v>
      </c>
      <c r="C245" s="20">
        <v>35.0</v>
      </c>
      <c r="D245" s="26">
        <v>244.0</v>
      </c>
      <c r="E245" s="34">
        <f>A247/30</f>
        <v>6536.4</v>
      </c>
      <c r="F245" s="34">
        <f t="shared" si="26"/>
        <v>0.4516129032</v>
      </c>
      <c r="G245" s="35">
        <f t="shared" si="24"/>
        <v>6565.501353</v>
      </c>
      <c r="H245" s="32"/>
      <c r="I245" s="34">
        <f t="shared" si="2"/>
        <v>35</v>
      </c>
      <c r="J245" s="32"/>
      <c r="K245" s="28"/>
      <c r="L245" s="34">
        <f t="shared" si="4"/>
        <v>42261.04645</v>
      </c>
      <c r="M245" s="28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>
      <c r="A246" s="13" t="s">
        <v>72</v>
      </c>
      <c r="B246" s="19">
        <v>41519.0</v>
      </c>
      <c r="C246" s="20">
        <v>35.0</v>
      </c>
      <c r="D246" s="26">
        <v>245.0</v>
      </c>
      <c r="E246" s="34">
        <f>A247/30</f>
        <v>6536.4</v>
      </c>
      <c r="F246" s="34">
        <f t="shared" si="26"/>
        <v>0.4193548387</v>
      </c>
      <c r="G246" s="35">
        <f t="shared" si="24"/>
        <v>6563.422685</v>
      </c>
      <c r="H246" s="32"/>
      <c r="I246" s="34">
        <f t="shared" si="2"/>
        <v>35</v>
      </c>
      <c r="J246" s="32"/>
      <c r="K246" s="28"/>
      <c r="L246" s="34">
        <f t="shared" si="4"/>
        <v>42261.04645</v>
      </c>
      <c r="M246" s="28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>
      <c r="A247" s="20">
        <v>196092.0</v>
      </c>
      <c r="B247" s="19">
        <v>41520.0</v>
      </c>
      <c r="C247" s="20">
        <v>36.0</v>
      </c>
      <c r="D247" s="26">
        <v>246.0</v>
      </c>
      <c r="E247" s="34">
        <f t="shared" ref="E247:E274" si="27">E246</f>
        <v>6536.4</v>
      </c>
      <c r="F247" s="34">
        <f t="shared" si="26"/>
        <v>0.3870967742</v>
      </c>
      <c r="G247" s="35">
        <f t="shared" si="24"/>
        <v>6561.344017</v>
      </c>
      <c r="H247" s="32"/>
      <c r="I247" s="34">
        <f t="shared" si="2"/>
        <v>36</v>
      </c>
      <c r="J247" s="35">
        <f>SUM(G247:G253)</f>
        <v>45885.75609</v>
      </c>
      <c r="K247" s="20">
        <v>45885.75609</v>
      </c>
      <c r="L247" s="34">
        <f t="shared" si="4"/>
        <v>42261.04645</v>
      </c>
      <c r="M247" s="20">
        <v>42261.04645</v>
      </c>
      <c r="N247" s="40">
        <v>12328.84392</v>
      </c>
      <c r="O247" s="40">
        <v>10725.42373</v>
      </c>
      <c r="P247" s="40">
        <v>2662.19231</v>
      </c>
      <c r="Q247" s="40">
        <v>19959.02118</v>
      </c>
      <c r="R247" s="39"/>
      <c r="S247" s="40">
        <v>11573.49919</v>
      </c>
      <c r="T247" s="40">
        <v>9770.412942</v>
      </c>
      <c r="U247" s="40">
        <v>2549.516084</v>
      </c>
      <c r="V247" s="40">
        <v>18342.83886</v>
      </c>
      <c r="W247" s="40">
        <v>755.344735</v>
      </c>
      <c r="X247" s="40">
        <v>955.010787</v>
      </c>
      <c r="Y247" s="40">
        <v>112.6762262</v>
      </c>
      <c r="Z247" s="40">
        <v>1616.18232</v>
      </c>
    </row>
    <row r="248">
      <c r="A248" s="28"/>
      <c r="B248" s="19">
        <v>41521.0</v>
      </c>
      <c r="C248" s="20">
        <v>36.0</v>
      </c>
      <c r="D248" s="26">
        <v>247.0</v>
      </c>
      <c r="E248" s="34">
        <f t="shared" si="27"/>
        <v>6536.4</v>
      </c>
      <c r="F248" s="34">
        <f t="shared" si="26"/>
        <v>0.3548387097</v>
      </c>
      <c r="G248" s="35">
        <f t="shared" si="24"/>
        <v>6559.265349</v>
      </c>
      <c r="H248" s="32"/>
      <c r="I248" s="34">
        <f t="shared" si="2"/>
        <v>36</v>
      </c>
      <c r="J248" s="32"/>
      <c r="K248" s="28"/>
      <c r="L248" s="34">
        <f t="shared" si="4"/>
        <v>42261.04645</v>
      </c>
      <c r="M248" s="28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>
      <c r="A249" s="28"/>
      <c r="B249" s="19">
        <v>41522.0</v>
      </c>
      <c r="C249" s="20">
        <v>36.0</v>
      </c>
      <c r="D249" s="26">
        <v>248.0</v>
      </c>
      <c r="E249" s="34">
        <f t="shared" si="27"/>
        <v>6536.4</v>
      </c>
      <c r="F249" s="34">
        <f t="shared" si="26"/>
        <v>0.3225806452</v>
      </c>
      <c r="G249" s="35">
        <f t="shared" si="24"/>
        <v>6557.186681</v>
      </c>
      <c r="H249" s="32"/>
      <c r="I249" s="34">
        <f t="shared" si="2"/>
        <v>36</v>
      </c>
      <c r="J249" s="32"/>
      <c r="K249" s="28"/>
      <c r="L249" s="34">
        <f t="shared" si="4"/>
        <v>42261.04645</v>
      </c>
      <c r="M249" s="28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>
      <c r="A250" s="28"/>
      <c r="B250" s="19">
        <v>41523.0</v>
      </c>
      <c r="C250" s="20">
        <v>36.0</v>
      </c>
      <c r="D250" s="26">
        <v>249.0</v>
      </c>
      <c r="E250" s="34">
        <f t="shared" si="27"/>
        <v>6536.4</v>
      </c>
      <c r="F250" s="34">
        <f t="shared" si="26"/>
        <v>0.2903225806</v>
      </c>
      <c r="G250" s="35">
        <f t="shared" si="24"/>
        <v>6555.108012</v>
      </c>
      <c r="H250" s="32"/>
      <c r="I250" s="34">
        <f t="shared" si="2"/>
        <v>36</v>
      </c>
      <c r="J250" s="32"/>
      <c r="K250" s="28"/>
      <c r="L250" s="34">
        <f t="shared" si="4"/>
        <v>42261.04645</v>
      </c>
      <c r="M250" s="28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>
      <c r="A251" s="28"/>
      <c r="B251" s="19">
        <v>41524.0</v>
      </c>
      <c r="C251" s="20">
        <v>36.0</v>
      </c>
      <c r="D251" s="26">
        <v>250.0</v>
      </c>
      <c r="E251" s="34">
        <f t="shared" si="27"/>
        <v>6536.4</v>
      </c>
      <c r="F251" s="34">
        <f t="shared" si="26"/>
        <v>0.2580645161</v>
      </c>
      <c r="G251" s="35">
        <f t="shared" si="24"/>
        <v>6553.029344</v>
      </c>
      <c r="H251" s="32"/>
      <c r="I251" s="34">
        <f t="shared" si="2"/>
        <v>36</v>
      </c>
      <c r="J251" s="32"/>
      <c r="K251" s="28"/>
      <c r="L251" s="34">
        <f t="shared" si="4"/>
        <v>42261.04645</v>
      </c>
      <c r="M251" s="28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>
      <c r="A252" s="28"/>
      <c r="B252" s="19">
        <v>41525.0</v>
      </c>
      <c r="C252" s="20">
        <v>36.0</v>
      </c>
      <c r="D252" s="26">
        <v>251.0</v>
      </c>
      <c r="E252" s="34">
        <f t="shared" si="27"/>
        <v>6536.4</v>
      </c>
      <c r="F252" s="34">
        <f t="shared" si="26"/>
        <v>0.2258064516</v>
      </c>
      <c r="G252" s="35">
        <f t="shared" si="24"/>
        <v>6550.950676</v>
      </c>
      <c r="H252" s="32"/>
      <c r="I252" s="34">
        <f t="shared" si="2"/>
        <v>36</v>
      </c>
      <c r="J252" s="32"/>
      <c r="K252" s="28"/>
      <c r="L252" s="34">
        <f t="shared" si="4"/>
        <v>42261.04645</v>
      </c>
      <c r="M252" s="28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>
      <c r="A253" s="28"/>
      <c r="B253" s="19">
        <v>41526.0</v>
      </c>
      <c r="C253" s="20">
        <v>36.0</v>
      </c>
      <c r="D253" s="26">
        <v>252.0</v>
      </c>
      <c r="E253" s="34">
        <f t="shared" si="27"/>
        <v>6536.4</v>
      </c>
      <c r="F253" s="34">
        <f t="shared" si="26"/>
        <v>0.1935483871</v>
      </c>
      <c r="G253" s="35">
        <f t="shared" si="24"/>
        <v>6548.872008</v>
      </c>
      <c r="H253" s="32"/>
      <c r="I253" s="34">
        <f t="shared" si="2"/>
        <v>36</v>
      </c>
      <c r="J253" s="32"/>
      <c r="K253" s="28"/>
      <c r="L253" s="34">
        <f t="shared" si="4"/>
        <v>42261.04645</v>
      </c>
      <c r="M253" s="28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>
      <c r="A254" s="28"/>
      <c r="B254" s="19">
        <v>41527.0</v>
      </c>
      <c r="C254" s="20">
        <v>37.0</v>
      </c>
      <c r="D254" s="26">
        <v>253.0</v>
      </c>
      <c r="E254" s="34">
        <f t="shared" si="27"/>
        <v>6536.4</v>
      </c>
      <c r="F254" s="34">
        <f t="shared" si="26"/>
        <v>0.1612903226</v>
      </c>
      <c r="G254" s="35">
        <f t="shared" si="24"/>
        <v>6546.79334</v>
      </c>
      <c r="H254" s="32"/>
      <c r="I254" s="34">
        <f t="shared" si="2"/>
        <v>37</v>
      </c>
      <c r="J254" s="35">
        <f>SUM(G254:G260)</f>
        <v>45799.39357</v>
      </c>
      <c r="K254" s="20">
        <v>45799.39357</v>
      </c>
      <c r="L254" s="34">
        <f t="shared" si="4"/>
        <v>42261.04645</v>
      </c>
      <c r="M254" s="20">
        <v>42261.04645</v>
      </c>
      <c r="N254" s="40">
        <v>11855.60035</v>
      </c>
      <c r="O254" s="40">
        <v>10349.27585</v>
      </c>
      <c r="P254" s="40">
        <v>2756.586402</v>
      </c>
      <c r="Q254" s="40">
        <v>20036.78108</v>
      </c>
      <c r="R254" s="39"/>
      <c r="S254" s="40">
        <v>11701.16548</v>
      </c>
      <c r="T254" s="40">
        <v>9732.526172</v>
      </c>
      <c r="U254" s="40">
        <v>2474.889481</v>
      </c>
      <c r="V254" s="40">
        <v>18395.73871</v>
      </c>
      <c r="W254" s="40">
        <v>154.4348723</v>
      </c>
      <c r="X254" s="40">
        <v>616.7496763</v>
      </c>
      <c r="Y254" s="40">
        <v>281.6969206</v>
      </c>
      <c r="Z254" s="40">
        <v>1641.042372</v>
      </c>
    </row>
    <row r="255">
      <c r="A255" s="28"/>
      <c r="B255" s="19">
        <v>41528.0</v>
      </c>
      <c r="C255" s="20">
        <v>37.0</v>
      </c>
      <c r="D255" s="26">
        <v>254.0</v>
      </c>
      <c r="E255" s="34">
        <f t="shared" si="27"/>
        <v>6536.4</v>
      </c>
      <c r="F255" s="34">
        <f t="shared" si="26"/>
        <v>0.1290322581</v>
      </c>
      <c r="G255" s="35">
        <f t="shared" si="24"/>
        <v>6544.714672</v>
      </c>
      <c r="H255" s="32"/>
      <c r="I255" s="34">
        <f t="shared" si="2"/>
        <v>37</v>
      </c>
      <c r="J255" s="32"/>
      <c r="K255" s="28"/>
      <c r="L255" s="34">
        <f t="shared" si="4"/>
        <v>42261.04645</v>
      </c>
      <c r="M255" s="28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>
      <c r="A256" s="28"/>
      <c r="B256" s="19">
        <v>41529.0</v>
      </c>
      <c r="C256" s="20">
        <v>37.0</v>
      </c>
      <c r="D256" s="26">
        <v>255.0</v>
      </c>
      <c r="E256" s="34">
        <f t="shared" si="27"/>
        <v>6536.4</v>
      </c>
      <c r="F256" s="34">
        <f t="shared" si="26"/>
        <v>0.09677419355</v>
      </c>
      <c r="G256" s="35">
        <f t="shared" si="24"/>
        <v>6542.636004</v>
      </c>
      <c r="H256" s="32"/>
      <c r="I256" s="34">
        <f t="shared" si="2"/>
        <v>37</v>
      </c>
      <c r="J256" s="32"/>
      <c r="K256" s="28"/>
      <c r="L256" s="34">
        <f t="shared" si="4"/>
        <v>42261.04645</v>
      </c>
      <c r="M256" s="28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>
      <c r="A257" s="28"/>
      <c r="B257" s="19">
        <v>41530.0</v>
      </c>
      <c r="C257" s="20">
        <v>37.0</v>
      </c>
      <c r="D257" s="26">
        <v>256.0</v>
      </c>
      <c r="E257" s="34">
        <f t="shared" si="27"/>
        <v>6536.4</v>
      </c>
      <c r="F257" s="34">
        <f t="shared" si="26"/>
        <v>0.06451612903</v>
      </c>
      <c r="G257" s="35">
        <f t="shared" si="24"/>
        <v>6540.557336</v>
      </c>
      <c r="H257" s="32"/>
      <c r="I257" s="34">
        <f t="shared" si="2"/>
        <v>37</v>
      </c>
      <c r="J257" s="32"/>
      <c r="K257" s="28"/>
      <c r="L257" s="34">
        <f t="shared" si="4"/>
        <v>42261.04645</v>
      </c>
      <c r="M257" s="28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>
      <c r="A258" s="28"/>
      <c r="B258" s="19">
        <v>41531.0</v>
      </c>
      <c r="C258" s="20">
        <v>37.0</v>
      </c>
      <c r="D258" s="26">
        <v>257.0</v>
      </c>
      <c r="E258" s="34">
        <f t="shared" si="27"/>
        <v>6536.4</v>
      </c>
      <c r="F258" s="34">
        <f t="shared" si="26"/>
        <v>0.03225806452</v>
      </c>
      <c r="G258" s="35">
        <f t="shared" si="24"/>
        <v>6538.478668</v>
      </c>
      <c r="H258" s="32"/>
      <c r="I258" s="34">
        <f t="shared" si="2"/>
        <v>37</v>
      </c>
      <c r="J258" s="32"/>
      <c r="K258" s="28"/>
      <c r="L258" s="34">
        <f t="shared" si="4"/>
        <v>42261.04645</v>
      </c>
      <c r="M258" s="28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>
      <c r="A259" s="28"/>
      <c r="B259" s="19">
        <v>41532.0</v>
      </c>
      <c r="C259" s="20">
        <v>37.0</v>
      </c>
      <c r="D259" s="26">
        <v>258.0</v>
      </c>
      <c r="E259" s="34">
        <f t="shared" si="27"/>
        <v>6536.4</v>
      </c>
      <c r="F259" s="34">
        <f t="shared" si="26"/>
        <v>0</v>
      </c>
      <c r="G259" s="35">
        <f>E259</f>
        <v>6536.4</v>
      </c>
      <c r="H259" s="32"/>
      <c r="I259" s="34">
        <f t="shared" si="2"/>
        <v>37</v>
      </c>
      <c r="J259" s="32"/>
      <c r="K259" s="28"/>
      <c r="L259" s="34">
        <f t="shared" si="4"/>
        <v>42261.04645</v>
      </c>
      <c r="M259" s="28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>
      <c r="A260" s="13"/>
      <c r="B260" s="19">
        <v>41533.0</v>
      </c>
      <c r="C260" s="20">
        <v>37.0</v>
      </c>
      <c r="D260" s="26">
        <v>259.0</v>
      </c>
      <c r="E260" s="34">
        <f t="shared" si="27"/>
        <v>6536.4</v>
      </c>
      <c r="F260" s="34">
        <f t="shared" ref="F260:F289" si="28">abs((D260-288)/(258-288))</f>
        <v>0.9666666667</v>
      </c>
      <c r="G260" s="35">
        <f t="shared" ref="G260:G289" si="29">E245*F260+(1-F260)*E275</f>
        <v>6549.813548</v>
      </c>
      <c r="H260" s="32"/>
      <c r="I260" s="34">
        <f t="shared" si="2"/>
        <v>37</v>
      </c>
      <c r="J260" s="32"/>
      <c r="K260" s="28"/>
      <c r="L260" s="34">
        <f t="shared" si="4"/>
        <v>42261.04645</v>
      </c>
      <c r="M260" s="28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>
      <c r="A261" s="13"/>
      <c r="B261" s="19">
        <v>41534.0</v>
      </c>
      <c r="C261" s="20">
        <v>38.0</v>
      </c>
      <c r="D261" s="26">
        <v>260.0</v>
      </c>
      <c r="E261" s="34">
        <f t="shared" si="27"/>
        <v>6536.4</v>
      </c>
      <c r="F261" s="34">
        <f t="shared" si="28"/>
        <v>0.9333333333</v>
      </c>
      <c r="G261" s="35">
        <f t="shared" si="29"/>
        <v>6563.227097</v>
      </c>
      <c r="H261" s="32"/>
      <c r="I261" s="34">
        <f t="shared" si="2"/>
        <v>38</v>
      </c>
      <c r="J261" s="35">
        <f>SUM(G261:G267)</f>
        <v>46224.27419</v>
      </c>
      <c r="K261" s="20">
        <v>46224.27419</v>
      </c>
      <c r="L261" s="34">
        <f t="shared" si="4"/>
        <v>42261.04645</v>
      </c>
      <c r="M261" s="20">
        <v>42261.04645</v>
      </c>
      <c r="N261" s="40">
        <v>11798.33512</v>
      </c>
      <c r="O261" s="40">
        <v>11298.60191</v>
      </c>
      <c r="P261" s="40">
        <v>2754.483777</v>
      </c>
      <c r="Q261" s="40">
        <v>20905.63304</v>
      </c>
      <c r="R261" s="39"/>
      <c r="S261" s="40">
        <v>10734.14709</v>
      </c>
      <c r="T261" s="40">
        <v>10211.2407</v>
      </c>
      <c r="U261" s="40">
        <v>2595.582567</v>
      </c>
      <c r="V261" s="40">
        <v>18118.74971</v>
      </c>
      <c r="W261" s="40">
        <v>1064.18803</v>
      </c>
      <c r="X261" s="40">
        <v>1087.361214</v>
      </c>
      <c r="Y261" s="40">
        <v>158.9012096</v>
      </c>
      <c r="Z261" s="40">
        <v>2786.883334</v>
      </c>
    </row>
    <row r="262">
      <c r="A262" s="28"/>
      <c r="B262" s="19">
        <v>41535.0</v>
      </c>
      <c r="C262" s="20">
        <v>38.0</v>
      </c>
      <c r="D262" s="26">
        <v>261.0</v>
      </c>
      <c r="E262" s="34">
        <f t="shared" si="27"/>
        <v>6536.4</v>
      </c>
      <c r="F262" s="34">
        <f t="shared" si="28"/>
        <v>0.9</v>
      </c>
      <c r="G262" s="35">
        <f t="shared" si="29"/>
        <v>6576.640645</v>
      </c>
      <c r="H262" s="32"/>
      <c r="I262" s="34">
        <f t="shared" si="2"/>
        <v>38</v>
      </c>
      <c r="J262" s="32"/>
      <c r="K262" s="28"/>
      <c r="L262" s="34">
        <f t="shared" si="4"/>
        <v>42261.04645</v>
      </c>
      <c r="M262" s="28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>
      <c r="A263" s="28"/>
      <c r="B263" s="19">
        <v>41536.0</v>
      </c>
      <c r="C263" s="20">
        <v>38.0</v>
      </c>
      <c r="D263" s="26">
        <v>262.0</v>
      </c>
      <c r="E263" s="34">
        <f t="shared" si="27"/>
        <v>6536.4</v>
      </c>
      <c r="F263" s="34">
        <f t="shared" si="28"/>
        <v>0.8666666667</v>
      </c>
      <c r="G263" s="35">
        <f t="shared" si="29"/>
        <v>6590.054194</v>
      </c>
      <c r="H263" s="32"/>
      <c r="I263" s="34">
        <f t="shared" si="2"/>
        <v>38</v>
      </c>
      <c r="J263" s="32"/>
      <c r="K263" s="28"/>
      <c r="L263" s="34">
        <f t="shared" si="4"/>
        <v>42261.04645</v>
      </c>
      <c r="M263" s="28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>
      <c r="A264" s="28"/>
      <c r="B264" s="19">
        <v>41537.0</v>
      </c>
      <c r="C264" s="20">
        <v>38.0</v>
      </c>
      <c r="D264" s="26">
        <v>263.0</v>
      </c>
      <c r="E264" s="34">
        <f t="shared" si="27"/>
        <v>6536.4</v>
      </c>
      <c r="F264" s="34">
        <f t="shared" si="28"/>
        <v>0.8333333333</v>
      </c>
      <c r="G264" s="35">
        <f t="shared" si="29"/>
        <v>6603.467742</v>
      </c>
      <c r="H264" s="32"/>
      <c r="I264" s="34">
        <f t="shared" si="2"/>
        <v>38</v>
      </c>
      <c r="J264" s="32"/>
      <c r="K264" s="28"/>
      <c r="L264" s="34">
        <f t="shared" si="4"/>
        <v>42261.04645</v>
      </c>
      <c r="M264" s="28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>
      <c r="A265" s="28"/>
      <c r="B265" s="19">
        <v>41538.0</v>
      </c>
      <c r="C265" s="20">
        <v>38.0</v>
      </c>
      <c r="D265" s="26">
        <v>264.0</v>
      </c>
      <c r="E265" s="34">
        <f t="shared" si="27"/>
        <v>6536.4</v>
      </c>
      <c r="F265" s="34">
        <f t="shared" si="28"/>
        <v>0.8</v>
      </c>
      <c r="G265" s="35">
        <f t="shared" si="29"/>
        <v>6616.88129</v>
      </c>
      <c r="H265" s="32"/>
      <c r="I265" s="34">
        <f t="shared" si="2"/>
        <v>38</v>
      </c>
      <c r="J265" s="32"/>
      <c r="K265" s="28"/>
      <c r="L265" s="34">
        <f t="shared" si="4"/>
        <v>42261.04645</v>
      </c>
      <c r="M265" s="28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>
      <c r="A266" s="28"/>
      <c r="B266" s="19">
        <v>41539.0</v>
      </c>
      <c r="C266" s="20">
        <v>38.0</v>
      </c>
      <c r="D266" s="26">
        <v>265.0</v>
      </c>
      <c r="E266" s="34">
        <f t="shared" si="27"/>
        <v>6536.4</v>
      </c>
      <c r="F266" s="34">
        <f t="shared" si="28"/>
        <v>0.7666666667</v>
      </c>
      <c r="G266" s="35">
        <f t="shared" si="29"/>
        <v>6630.294839</v>
      </c>
      <c r="H266" s="32"/>
      <c r="I266" s="34">
        <f t="shared" si="2"/>
        <v>38</v>
      </c>
      <c r="J266" s="32"/>
      <c r="K266" s="28"/>
      <c r="L266" s="34">
        <f t="shared" si="4"/>
        <v>42261.04645</v>
      </c>
      <c r="M266" s="28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>
      <c r="A267" s="28"/>
      <c r="B267" s="19">
        <v>41540.0</v>
      </c>
      <c r="C267" s="20">
        <v>38.0</v>
      </c>
      <c r="D267" s="26">
        <v>266.0</v>
      </c>
      <c r="E267" s="34">
        <f t="shared" si="27"/>
        <v>6536.4</v>
      </c>
      <c r="F267" s="34">
        <f t="shared" si="28"/>
        <v>0.7333333333</v>
      </c>
      <c r="G267" s="35">
        <f t="shared" si="29"/>
        <v>6643.708387</v>
      </c>
      <c r="H267" s="32"/>
      <c r="I267" s="34">
        <f t="shared" si="2"/>
        <v>38</v>
      </c>
      <c r="J267" s="32"/>
      <c r="K267" s="28"/>
      <c r="L267" s="34">
        <f t="shared" si="4"/>
        <v>42261.04645</v>
      </c>
      <c r="M267" s="28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>
      <c r="A268" s="28"/>
      <c r="B268" s="19">
        <v>41541.0</v>
      </c>
      <c r="C268" s="20">
        <v>39.0</v>
      </c>
      <c r="D268" s="26">
        <v>267.0</v>
      </c>
      <c r="E268" s="34">
        <f t="shared" si="27"/>
        <v>6536.4</v>
      </c>
      <c r="F268" s="34">
        <f t="shared" si="28"/>
        <v>0.7</v>
      </c>
      <c r="G268" s="35">
        <f t="shared" si="29"/>
        <v>6657.121935</v>
      </c>
      <c r="H268" s="32"/>
      <c r="I268" s="34">
        <f t="shared" si="2"/>
        <v>39</v>
      </c>
      <c r="J268" s="35">
        <f>SUM(G268:G274)</f>
        <v>46881.53806</v>
      </c>
      <c r="K268" s="20">
        <v>46881.53806</v>
      </c>
      <c r="L268" s="34">
        <f t="shared" si="4"/>
        <v>42261.04645</v>
      </c>
      <c r="M268" s="20">
        <v>42261.04645</v>
      </c>
      <c r="N268" s="40">
        <v>12924.48655</v>
      </c>
      <c r="O268" s="40">
        <v>10903.45097</v>
      </c>
      <c r="P268" s="40">
        <v>2894.59511</v>
      </c>
      <c r="Q268" s="40">
        <v>20178.8808</v>
      </c>
      <c r="R268" s="39"/>
      <c r="S268" s="40">
        <v>10907.27465</v>
      </c>
      <c r="T268" s="40">
        <v>10171.085</v>
      </c>
      <c r="U268" s="40">
        <v>2466.84122</v>
      </c>
      <c r="V268" s="40">
        <v>18096.75148</v>
      </c>
      <c r="W268" s="40">
        <v>2017.211899</v>
      </c>
      <c r="X268" s="40">
        <v>732.3659701</v>
      </c>
      <c r="Y268" s="40">
        <v>427.7538901</v>
      </c>
      <c r="Z268" s="40">
        <v>2082.12932</v>
      </c>
    </row>
    <row r="269">
      <c r="A269" s="28"/>
      <c r="B269" s="19">
        <v>41542.0</v>
      </c>
      <c r="C269" s="20">
        <v>39.0</v>
      </c>
      <c r="D269" s="26">
        <v>268.0</v>
      </c>
      <c r="E269" s="34">
        <f t="shared" si="27"/>
        <v>6536.4</v>
      </c>
      <c r="F269" s="34">
        <f t="shared" si="28"/>
        <v>0.6666666667</v>
      </c>
      <c r="G269" s="35">
        <f t="shared" si="29"/>
        <v>6670.535484</v>
      </c>
      <c r="H269" s="32"/>
      <c r="I269" s="34">
        <f t="shared" si="2"/>
        <v>39</v>
      </c>
      <c r="J269" s="32"/>
      <c r="K269" s="28"/>
      <c r="L269" s="34">
        <f t="shared" si="4"/>
        <v>42261.04645</v>
      </c>
      <c r="M269" s="28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>
      <c r="A270" s="28"/>
      <c r="B270" s="19">
        <v>41543.0</v>
      </c>
      <c r="C270" s="20">
        <v>39.0</v>
      </c>
      <c r="D270" s="26">
        <v>269.0</v>
      </c>
      <c r="E270" s="34">
        <f t="shared" si="27"/>
        <v>6536.4</v>
      </c>
      <c r="F270" s="34">
        <f t="shared" si="28"/>
        <v>0.6333333333</v>
      </c>
      <c r="G270" s="35">
        <f t="shared" si="29"/>
        <v>6683.949032</v>
      </c>
      <c r="H270" s="32"/>
      <c r="I270" s="34">
        <f t="shared" si="2"/>
        <v>39</v>
      </c>
      <c r="J270" s="32"/>
      <c r="K270" s="28"/>
      <c r="L270" s="34">
        <f t="shared" si="4"/>
        <v>42261.04645</v>
      </c>
      <c r="M270" s="28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>
      <c r="A271" s="28"/>
      <c r="B271" s="19">
        <v>41544.0</v>
      </c>
      <c r="C271" s="20">
        <v>39.0</v>
      </c>
      <c r="D271" s="26">
        <v>270.0</v>
      </c>
      <c r="E271" s="34">
        <f t="shared" si="27"/>
        <v>6536.4</v>
      </c>
      <c r="F271" s="34">
        <f t="shared" si="28"/>
        <v>0.6</v>
      </c>
      <c r="G271" s="35">
        <f t="shared" si="29"/>
        <v>6697.362581</v>
      </c>
      <c r="H271" s="32"/>
      <c r="I271" s="34">
        <f t="shared" si="2"/>
        <v>39</v>
      </c>
      <c r="J271" s="32"/>
      <c r="K271" s="28"/>
      <c r="L271" s="34">
        <f t="shared" si="4"/>
        <v>42261.04645</v>
      </c>
      <c r="M271" s="28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>
      <c r="A272" s="28"/>
      <c r="B272" s="19">
        <v>41545.0</v>
      </c>
      <c r="C272" s="20">
        <v>39.0</v>
      </c>
      <c r="D272" s="26">
        <v>271.0</v>
      </c>
      <c r="E272" s="34">
        <f t="shared" si="27"/>
        <v>6536.4</v>
      </c>
      <c r="F272" s="34">
        <f t="shared" si="28"/>
        <v>0.5666666667</v>
      </c>
      <c r="G272" s="35">
        <f t="shared" si="29"/>
        <v>6710.776129</v>
      </c>
      <c r="H272" s="32"/>
      <c r="I272" s="34">
        <f t="shared" si="2"/>
        <v>39</v>
      </c>
      <c r="J272" s="32"/>
      <c r="K272" s="28"/>
      <c r="L272" s="34">
        <f t="shared" si="4"/>
        <v>42261.04645</v>
      </c>
      <c r="M272" s="28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>
      <c r="A273" s="28"/>
      <c r="B273" s="19">
        <v>41546.0</v>
      </c>
      <c r="C273" s="20">
        <v>39.0</v>
      </c>
      <c r="D273" s="26">
        <v>272.0</v>
      </c>
      <c r="E273" s="34">
        <f t="shared" si="27"/>
        <v>6536.4</v>
      </c>
      <c r="F273" s="34">
        <f t="shared" si="28"/>
        <v>0.5333333333</v>
      </c>
      <c r="G273" s="35">
        <f t="shared" si="29"/>
        <v>6724.189677</v>
      </c>
      <c r="H273" s="32"/>
      <c r="I273" s="34">
        <f t="shared" si="2"/>
        <v>39</v>
      </c>
      <c r="J273" s="32"/>
      <c r="K273" s="28"/>
      <c r="L273" s="34">
        <f t="shared" si="4"/>
        <v>42261.04645</v>
      </c>
      <c r="M273" s="28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>
      <c r="A274" s="28"/>
      <c r="B274" s="19">
        <v>41547.0</v>
      </c>
      <c r="C274" s="20">
        <v>39.0</v>
      </c>
      <c r="D274" s="26">
        <v>273.0</v>
      </c>
      <c r="E274" s="34">
        <f t="shared" si="27"/>
        <v>6536.4</v>
      </c>
      <c r="F274" s="34">
        <f t="shared" si="28"/>
        <v>0.5</v>
      </c>
      <c r="G274" s="35">
        <f t="shared" si="29"/>
        <v>6737.603226</v>
      </c>
      <c r="H274" s="32"/>
      <c r="I274" s="34">
        <f t="shared" si="2"/>
        <v>39</v>
      </c>
      <c r="J274" s="32"/>
      <c r="K274" s="28"/>
      <c r="L274" s="34">
        <f t="shared" si="4"/>
        <v>42261.04645</v>
      </c>
      <c r="M274" s="28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>
      <c r="A275" s="28"/>
      <c r="B275" s="19">
        <v>41548.0</v>
      </c>
      <c r="C275" s="20">
        <v>40.0</v>
      </c>
      <c r="D275" s="26">
        <v>274.0</v>
      </c>
      <c r="E275" s="34">
        <f>A277/31</f>
        <v>6938.806452</v>
      </c>
      <c r="F275" s="34">
        <f t="shared" si="28"/>
        <v>0.4666666667</v>
      </c>
      <c r="G275" s="35">
        <f t="shared" si="29"/>
        <v>6751.016774</v>
      </c>
      <c r="H275" s="32"/>
      <c r="I275" s="34">
        <f t="shared" si="2"/>
        <v>40</v>
      </c>
      <c r="J275" s="35">
        <f>SUM(G275:G281)</f>
        <v>47538.80194</v>
      </c>
      <c r="K275" s="20">
        <v>47538.80194</v>
      </c>
      <c r="L275" s="34">
        <f t="shared" si="4"/>
        <v>42261.04645</v>
      </c>
      <c r="M275" s="20">
        <v>42261.04645</v>
      </c>
      <c r="N275" s="40">
        <v>12476.24109</v>
      </c>
      <c r="O275" s="40">
        <v>10834.53369</v>
      </c>
      <c r="P275" s="40">
        <v>2940.773606</v>
      </c>
      <c r="Q275" s="40">
        <v>20993.92957</v>
      </c>
      <c r="R275" s="39"/>
      <c r="S275" s="40">
        <v>11313.11222</v>
      </c>
      <c r="T275" s="40">
        <v>10258.39816</v>
      </c>
      <c r="U275" s="40">
        <v>2603.949614</v>
      </c>
      <c r="V275" s="40">
        <v>18023.31044</v>
      </c>
      <c r="W275" s="40">
        <v>1163.128869</v>
      </c>
      <c r="X275" s="40">
        <v>576.1355274</v>
      </c>
      <c r="Y275" s="40">
        <v>336.8239918</v>
      </c>
      <c r="Z275" s="40">
        <v>2970.619125</v>
      </c>
    </row>
    <row r="276">
      <c r="A276" s="13" t="s">
        <v>73</v>
      </c>
      <c r="B276" s="19">
        <v>41549.0</v>
      </c>
      <c r="C276" s="20">
        <v>40.0</v>
      </c>
      <c r="D276" s="26">
        <v>275.0</v>
      </c>
      <c r="E276" s="34">
        <f>A277/31</f>
        <v>6938.806452</v>
      </c>
      <c r="F276" s="34">
        <f t="shared" si="28"/>
        <v>0.4333333333</v>
      </c>
      <c r="G276" s="35">
        <f t="shared" si="29"/>
        <v>6764.430323</v>
      </c>
      <c r="H276" s="32"/>
      <c r="I276" s="34">
        <f t="shared" si="2"/>
        <v>40</v>
      </c>
      <c r="J276" s="32"/>
      <c r="K276" s="28"/>
      <c r="L276" s="34">
        <f t="shared" si="4"/>
        <v>42261.04645</v>
      </c>
      <c r="M276" s="28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>
      <c r="A277" s="20">
        <v>215103.0</v>
      </c>
      <c r="B277" s="19">
        <v>41550.0</v>
      </c>
      <c r="C277" s="20">
        <v>40.0</v>
      </c>
      <c r="D277" s="26">
        <v>276.0</v>
      </c>
      <c r="E277" s="34">
        <f t="shared" ref="E277:E305" si="30">E276</f>
        <v>6938.806452</v>
      </c>
      <c r="F277" s="34">
        <f t="shared" si="28"/>
        <v>0.4</v>
      </c>
      <c r="G277" s="35">
        <f t="shared" si="29"/>
        <v>6777.843871</v>
      </c>
      <c r="H277" s="32"/>
      <c r="I277" s="34">
        <f t="shared" si="2"/>
        <v>40</v>
      </c>
      <c r="J277" s="32"/>
      <c r="K277" s="28"/>
      <c r="L277" s="34">
        <f t="shared" si="4"/>
        <v>42261.04645</v>
      </c>
      <c r="M277" s="28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>
      <c r="A278" s="28"/>
      <c r="B278" s="19">
        <v>41551.0</v>
      </c>
      <c r="C278" s="20">
        <v>40.0</v>
      </c>
      <c r="D278" s="26">
        <v>277.0</v>
      </c>
      <c r="E278" s="34">
        <f t="shared" si="30"/>
        <v>6938.806452</v>
      </c>
      <c r="F278" s="34">
        <f t="shared" si="28"/>
        <v>0.3666666667</v>
      </c>
      <c r="G278" s="35">
        <f t="shared" si="29"/>
        <v>6791.257419</v>
      </c>
      <c r="H278" s="32"/>
      <c r="I278" s="34">
        <f t="shared" si="2"/>
        <v>40</v>
      </c>
      <c r="J278" s="32"/>
      <c r="K278" s="28"/>
      <c r="L278" s="34">
        <f t="shared" si="4"/>
        <v>42261.04645</v>
      </c>
      <c r="M278" s="28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>
      <c r="A279" s="28"/>
      <c r="B279" s="19">
        <v>41552.0</v>
      </c>
      <c r="C279" s="20">
        <v>40.0</v>
      </c>
      <c r="D279" s="26">
        <v>278.0</v>
      </c>
      <c r="E279" s="34">
        <f t="shared" si="30"/>
        <v>6938.806452</v>
      </c>
      <c r="F279" s="34">
        <f t="shared" si="28"/>
        <v>0.3333333333</v>
      </c>
      <c r="G279" s="35">
        <f t="shared" si="29"/>
        <v>6804.670968</v>
      </c>
      <c r="H279" s="32"/>
      <c r="I279" s="34">
        <f t="shared" si="2"/>
        <v>40</v>
      </c>
      <c r="J279" s="32"/>
      <c r="K279" s="28"/>
      <c r="L279" s="34">
        <f t="shared" si="4"/>
        <v>42261.04645</v>
      </c>
      <c r="M279" s="28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>
      <c r="A280" s="28"/>
      <c r="B280" s="19">
        <v>41553.0</v>
      </c>
      <c r="C280" s="20">
        <v>40.0</v>
      </c>
      <c r="D280" s="26">
        <v>279.0</v>
      </c>
      <c r="E280" s="34">
        <f t="shared" si="30"/>
        <v>6938.806452</v>
      </c>
      <c r="F280" s="34">
        <f t="shared" si="28"/>
        <v>0.3</v>
      </c>
      <c r="G280" s="35">
        <f t="shared" si="29"/>
        <v>6818.084516</v>
      </c>
      <c r="H280" s="32"/>
      <c r="I280" s="34">
        <f t="shared" si="2"/>
        <v>40</v>
      </c>
      <c r="J280" s="32"/>
      <c r="K280" s="28"/>
      <c r="L280" s="34">
        <f t="shared" si="4"/>
        <v>42261.04645</v>
      </c>
      <c r="M280" s="28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>
      <c r="A281" s="28"/>
      <c r="B281" s="19">
        <v>41554.0</v>
      </c>
      <c r="C281" s="20">
        <v>40.0</v>
      </c>
      <c r="D281" s="26">
        <v>280.0</v>
      </c>
      <c r="E281" s="34">
        <f t="shared" si="30"/>
        <v>6938.806452</v>
      </c>
      <c r="F281" s="34">
        <f t="shared" si="28"/>
        <v>0.2666666667</v>
      </c>
      <c r="G281" s="35">
        <f t="shared" si="29"/>
        <v>6831.498065</v>
      </c>
      <c r="H281" s="32"/>
      <c r="I281" s="34">
        <f t="shared" si="2"/>
        <v>40</v>
      </c>
      <c r="J281" s="32"/>
      <c r="K281" s="28"/>
      <c r="L281" s="34">
        <f t="shared" si="4"/>
        <v>42261.04645</v>
      </c>
      <c r="M281" s="28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>
      <c r="A282" s="28"/>
      <c r="B282" s="19">
        <v>41555.0</v>
      </c>
      <c r="C282" s="20">
        <v>41.0</v>
      </c>
      <c r="D282" s="26">
        <v>281.0</v>
      </c>
      <c r="E282" s="34">
        <f t="shared" si="30"/>
        <v>6938.806452</v>
      </c>
      <c r="F282" s="34">
        <f t="shared" si="28"/>
        <v>0.2333333333</v>
      </c>
      <c r="G282" s="35">
        <f t="shared" si="29"/>
        <v>6844.911613</v>
      </c>
      <c r="H282" s="32"/>
      <c r="I282" s="34">
        <f t="shared" si="2"/>
        <v>41</v>
      </c>
      <c r="J282" s="35">
        <f>SUM(G282:G288)</f>
        <v>48196.06581</v>
      </c>
      <c r="K282" s="20">
        <v>48196.06581</v>
      </c>
      <c r="L282" s="34">
        <f t="shared" si="4"/>
        <v>42261.04645</v>
      </c>
      <c r="M282" s="20">
        <v>42261.04645</v>
      </c>
      <c r="N282" s="40">
        <v>13051.70396</v>
      </c>
      <c r="O282" s="40">
        <v>11011.19568</v>
      </c>
      <c r="P282" s="40">
        <v>2858.320955</v>
      </c>
      <c r="Q282" s="40">
        <v>21021.00038</v>
      </c>
      <c r="R282" s="39"/>
      <c r="S282" s="40">
        <v>10882.80061</v>
      </c>
      <c r="T282" s="40">
        <v>10322.25364</v>
      </c>
      <c r="U282" s="40">
        <v>2654.969578</v>
      </c>
      <c r="V282" s="40">
        <v>18561.08452</v>
      </c>
      <c r="W282" s="40">
        <v>2168.90335</v>
      </c>
      <c r="X282" s="40">
        <v>688.942045</v>
      </c>
      <c r="Y282" s="40">
        <v>203.3513774</v>
      </c>
      <c r="Z282" s="40">
        <v>2459.915861</v>
      </c>
    </row>
    <row r="283">
      <c r="A283" s="28"/>
      <c r="B283" s="19">
        <v>41556.0</v>
      </c>
      <c r="C283" s="20">
        <v>41.0</v>
      </c>
      <c r="D283" s="26">
        <v>282.0</v>
      </c>
      <c r="E283" s="34">
        <f t="shared" si="30"/>
        <v>6938.806452</v>
      </c>
      <c r="F283" s="34">
        <f t="shared" si="28"/>
        <v>0.2</v>
      </c>
      <c r="G283" s="35">
        <f t="shared" si="29"/>
        <v>6858.325161</v>
      </c>
      <c r="H283" s="32"/>
      <c r="I283" s="34">
        <f t="shared" si="2"/>
        <v>41</v>
      </c>
      <c r="J283" s="32"/>
      <c r="K283" s="28"/>
      <c r="L283" s="34">
        <f t="shared" si="4"/>
        <v>42261.04645</v>
      </c>
      <c r="M283" s="28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>
      <c r="A284" s="28"/>
      <c r="B284" s="19">
        <v>41557.0</v>
      </c>
      <c r="C284" s="20">
        <v>41.0</v>
      </c>
      <c r="D284" s="26">
        <v>283.0</v>
      </c>
      <c r="E284" s="34">
        <f t="shared" si="30"/>
        <v>6938.806452</v>
      </c>
      <c r="F284" s="34">
        <f t="shared" si="28"/>
        <v>0.1666666667</v>
      </c>
      <c r="G284" s="35">
        <f t="shared" si="29"/>
        <v>6871.73871</v>
      </c>
      <c r="H284" s="32"/>
      <c r="I284" s="34">
        <f t="shared" si="2"/>
        <v>41</v>
      </c>
      <c r="J284" s="32"/>
      <c r="K284" s="28"/>
      <c r="L284" s="34">
        <f t="shared" si="4"/>
        <v>42261.04645</v>
      </c>
      <c r="M284" s="28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>
      <c r="A285" s="28"/>
      <c r="B285" s="19">
        <v>41558.0</v>
      </c>
      <c r="C285" s="20">
        <v>41.0</v>
      </c>
      <c r="D285" s="26">
        <v>284.0</v>
      </c>
      <c r="E285" s="34">
        <f t="shared" si="30"/>
        <v>6938.806452</v>
      </c>
      <c r="F285" s="34">
        <f t="shared" si="28"/>
        <v>0.1333333333</v>
      </c>
      <c r="G285" s="35">
        <f t="shared" si="29"/>
        <v>6885.152258</v>
      </c>
      <c r="H285" s="32"/>
      <c r="I285" s="34">
        <f t="shared" si="2"/>
        <v>41</v>
      </c>
      <c r="J285" s="32"/>
      <c r="K285" s="28"/>
      <c r="L285" s="34">
        <f t="shared" si="4"/>
        <v>42261.04645</v>
      </c>
      <c r="M285" s="28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>
      <c r="A286" s="28"/>
      <c r="B286" s="19">
        <v>41559.0</v>
      </c>
      <c r="C286" s="20">
        <v>41.0</v>
      </c>
      <c r="D286" s="26">
        <v>285.0</v>
      </c>
      <c r="E286" s="34">
        <f t="shared" si="30"/>
        <v>6938.806452</v>
      </c>
      <c r="F286" s="34">
        <f t="shared" si="28"/>
        <v>0.1</v>
      </c>
      <c r="G286" s="35">
        <f t="shared" si="29"/>
        <v>6898.565806</v>
      </c>
      <c r="H286" s="32"/>
      <c r="I286" s="34">
        <f t="shared" si="2"/>
        <v>41</v>
      </c>
      <c r="J286" s="32"/>
      <c r="K286" s="28"/>
      <c r="L286" s="34">
        <f t="shared" si="4"/>
        <v>42261.04645</v>
      </c>
      <c r="M286" s="28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>
      <c r="A287" s="28"/>
      <c r="B287" s="19">
        <v>41560.0</v>
      </c>
      <c r="C287" s="20">
        <v>41.0</v>
      </c>
      <c r="D287" s="26">
        <v>286.0</v>
      </c>
      <c r="E287" s="34">
        <f t="shared" si="30"/>
        <v>6938.806452</v>
      </c>
      <c r="F287" s="34">
        <f t="shared" si="28"/>
        <v>0.06666666667</v>
      </c>
      <c r="G287" s="35">
        <f t="shared" si="29"/>
        <v>6911.979355</v>
      </c>
      <c r="H287" s="32"/>
      <c r="I287" s="34">
        <f t="shared" si="2"/>
        <v>41</v>
      </c>
      <c r="J287" s="32"/>
      <c r="K287" s="28"/>
      <c r="L287" s="34">
        <f t="shared" si="4"/>
        <v>42261.04645</v>
      </c>
      <c r="M287" s="28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>
      <c r="A288" s="28"/>
      <c r="B288" s="19">
        <v>41561.0</v>
      </c>
      <c r="C288" s="20">
        <v>41.0</v>
      </c>
      <c r="D288" s="26">
        <v>287.0</v>
      </c>
      <c r="E288" s="34">
        <f t="shared" si="30"/>
        <v>6938.806452</v>
      </c>
      <c r="F288" s="34">
        <f t="shared" si="28"/>
        <v>0.03333333333</v>
      </c>
      <c r="G288" s="35">
        <f t="shared" si="29"/>
        <v>6925.392903</v>
      </c>
      <c r="H288" s="32"/>
      <c r="I288" s="34">
        <f t="shared" si="2"/>
        <v>41</v>
      </c>
      <c r="J288" s="32"/>
      <c r="K288" s="28"/>
      <c r="L288" s="34">
        <f t="shared" si="4"/>
        <v>42261.04645</v>
      </c>
      <c r="M288" s="28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>
      <c r="A289" s="28"/>
      <c r="B289" s="19">
        <v>41562.0</v>
      </c>
      <c r="C289" s="20">
        <v>42.0</v>
      </c>
      <c r="D289" s="26">
        <v>288.0</v>
      </c>
      <c r="E289" s="34">
        <f t="shared" si="30"/>
        <v>6938.806452</v>
      </c>
      <c r="F289" s="34">
        <f t="shared" si="28"/>
        <v>0</v>
      </c>
      <c r="G289" s="35">
        <f t="shared" si="29"/>
        <v>6938.806452</v>
      </c>
      <c r="H289" s="32"/>
      <c r="I289" s="34">
        <f t="shared" si="2"/>
        <v>42</v>
      </c>
      <c r="J289" s="35">
        <f>SUM(G289:G295)</f>
        <v>48427.0795</v>
      </c>
      <c r="K289" s="20">
        <v>48427.0795</v>
      </c>
      <c r="L289" s="34">
        <f t="shared" si="4"/>
        <v>42261.04645</v>
      </c>
      <c r="M289" s="20">
        <v>42261.04645</v>
      </c>
      <c r="N289" s="40">
        <v>12453.88777</v>
      </c>
      <c r="O289" s="40">
        <v>11389.10743</v>
      </c>
      <c r="P289" s="40">
        <v>2790.663516</v>
      </c>
      <c r="Q289" s="40">
        <v>20318.29306</v>
      </c>
      <c r="R289" s="39"/>
      <c r="S289" s="40">
        <v>11244.85102</v>
      </c>
      <c r="T289" s="40">
        <v>9798.35098</v>
      </c>
      <c r="U289" s="40">
        <v>2468.499251</v>
      </c>
      <c r="V289" s="40">
        <v>18503.13307</v>
      </c>
      <c r="W289" s="40">
        <v>1209.03675</v>
      </c>
      <c r="X289" s="40">
        <v>1590.756453</v>
      </c>
      <c r="Y289" s="40">
        <v>322.1642654</v>
      </c>
      <c r="Z289" s="40">
        <v>1815.159993</v>
      </c>
    </row>
    <row r="290">
      <c r="A290" s="13"/>
      <c r="B290" s="19">
        <v>41563.0</v>
      </c>
      <c r="C290" s="20">
        <v>42.0</v>
      </c>
      <c r="D290" s="26">
        <v>289.0</v>
      </c>
      <c r="E290" s="34">
        <f t="shared" si="30"/>
        <v>6938.806452</v>
      </c>
      <c r="F290" s="34">
        <f t="shared" ref="F290:F320" si="31">abs((D290-319)/(319-288))</f>
        <v>0.9677419355</v>
      </c>
      <c r="G290" s="35">
        <f t="shared" ref="G290:G319" si="32">E275*F290+(1-F290)*E306</f>
        <v>6931.922373</v>
      </c>
      <c r="H290" s="32"/>
      <c r="I290" s="34">
        <f t="shared" si="2"/>
        <v>42</v>
      </c>
      <c r="J290" s="32"/>
      <c r="K290" s="28"/>
      <c r="L290" s="34">
        <f t="shared" si="4"/>
        <v>42261.04645</v>
      </c>
      <c r="M290" s="28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>
      <c r="A291" s="13"/>
      <c r="B291" s="19">
        <v>41564.0</v>
      </c>
      <c r="C291" s="20">
        <v>42.0</v>
      </c>
      <c r="D291" s="26">
        <v>290.0</v>
      </c>
      <c r="E291" s="34">
        <f t="shared" si="30"/>
        <v>6938.806452</v>
      </c>
      <c r="F291" s="34">
        <f t="shared" si="31"/>
        <v>0.935483871</v>
      </c>
      <c r="G291" s="35">
        <f t="shared" si="32"/>
        <v>6925.038293</v>
      </c>
      <c r="H291" s="32"/>
      <c r="I291" s="34">
        <f t="shared" si="2"/>
        <v>42</v>
      </c>
      <c r="J291" s="32"/>
      <c r="K291" s="28"/>
      <c r="L291" s="34">
        <f t="shared" si="4"/>
        <v>42261.04645</v>
      </c>
      <c r="M291" s="28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>
      <c r="A292" s="28"/>
      <c r="B292" s="19">
        <v>41565.0</v>
      </c>
      <c r="C292" s="20">
        <v>42.0</v>
      </c>
      <c r="D292" s="26">
        <v>291.0</v>
      </c>
      <c r="E292" s="34">
        <f t="shared" si="30"/>
        <v>6938.806452</v>
      </c>
      <c r="F292" s="34">
        <f t="shared" si="31"/>
        <v>0.9032258065</v>
      </c>
      <c r="G292" s="35">
        <f t="shared" si="32"/>
        <v>6918.154214</v>
      </c>
      <c r="H292" s="32"/>
      <c r="I292" s="34">
        <f t="shared" si="2"/>
        <v>42</v>
      </c>
      <c r="J292" s="32"/>
      <c r="K292" s="28"/>
      <c r="L292" s="34">
        <f t="shared" si="4"/>
        <v>42261.04645</v>
      </c>
      <c r="M292" s="28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>
      <c r="A293" s="28"/>
      <c r="B293" s="19">
        <v>41566.0</v>
      </c>
      <c r="C293" s="20">
        <v>42.0</v>
      </c>
      <c r="D293" s="26">
        <v>292.0</v>
      </c>
      <c r="E293" s="34">
        <f t="shared" si="30"/>
        <v>6938.806452</v>
      </c>
      <c r="F293" s="34">
        <f t="shared" si="31"/>
        <v>0.8709677419</v>
      </c>
      <c r="G293" s="35">
        <f t="shared" si="32"/>
        <v>6911.270135</v>
      </c>
      <c r="H293" s="32"/>
      <c r="I293" s="34">
        <f t="shared" si="2"/>
        <v>42</v>
      </c>
      <c r="J293" s="32"/>
      <c r="K293" s="28"/>
      <c r="L293" s="34">
        <f t="shared" si="4"/>
        <v>42261.04645</v>
      </c>
      <c r="M293" s="28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>
      <c r="A294" s="28"/>
      <c r="B294" s="19">
        <v>41567.0</v>
      </c>
      <c r="C294" s="20">
        <v>42.0</v>
      </c>
      <c r="D294" s="26">
        <v>293.0</v>
      </c>
      <c r="E294" s="34">
        <f t="shared" si="30"/>
        <v>6938.806452</v>
      </c>
      <c r="F294" s="34">
        <f t="shared" si="31"/>
        <v>0.8387096774</v>
      </c>
      <c r="G294" s="35">
        <f t="shared" si="32"/>
        <v>6904.386056</v>
      </c>
      <c r="H294" s="32"/>
      <c r="I294" s="34">
        <f t="shared" si="2"/>
        <v>42</v>
      </c>
      <c r="J294" s="32"/>
      <c r="K294" s="28"/>
      <c r="L294" s="34">
        <f t="shared" si="4"/>
        <v>42261.04645</v>
      </c>
      <c r="M294" s="28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>
      <c r="A295" s="28"/>
      <c r="B295" s="19">
        <v>41568.0</v>
      </c>
      <c r="C295" s="20">
        <v>42.0</v>
      </c>
      <c r="D295" s="26">
        <v>294.0</v>
      </c>
      <c r="E295" s="34">
        <f t="shared" si="30"/>
        <v>6938.806452</v>
      </c>
      <c r="F295" s="34">
        <f t="shared" si="31"/>
        <v>0.8064516129</v>
      </c>
      <c r="G295" s="35">
        <f t="shared" si="32"/>
        <v>6897.501977</v>
      </c>
      <c r="H295" s="32"/>
      <c r="I295" s="34">
        <f t="shared" si="2"/>
        <v>42</v>
      </c>
      <c r="J295" s="32"/>
      <c r="K295" s="28"/>
      <c r="L295" s="34">
        <f t="shared" si="4"/>
        <v>42261.04645</v>
      </c>
      <c r="M295" s="28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>
      <c r="A296" s="28"/>
      <c r="B296" s="19">
        <v>41569.0</v>
      </c>
      <c r="C296" s="20">
        <v>43.0</v>
      </c>
      <c r="D296" s="26">
        <v>295.0</v>
      </c>
      <c r="E296" s="34">
        <f t="shared" si="30"/>
        <v>6938.806452</v>
      </c>
      <c r="F296" s="34">
        <f t="shared" si="31"/>
        <v>0.7741935484</v>
      </c>
      <c r="G296" s="35">
        <f t="shared" si="32"/>
        <v>6890.617898</v>
      </c>
      <c r="H296" s="32"/>
      <c r="I296" s="34">
        <f t="shared" si="2"/>
        <v>43</v>
      </c>
      <c r="J296" s="35">
        <f>SUM(G296:G302)</f>
        <v>48089.75963</v>
      </c>
      <c r="K296" s="20">
        <v>48089.75963</v>
      </c>
      <c r="L296" s="34">
        <f t="shared" si="4"/>
        <v>42261.04645</v>
      </c>
      <c r="M296" s="20">
        <v>42261.04645</v>
      </c>
      <c r="N296" s="40">
        <v>12713.83602</v>
      </c>
      <c r="O296" s="40">
        <v>10867.24522</v>
      </c>
      <c r="P296" s="40">
        <v>2990.543957</v>
      </c>
      <c r="Q296" s="40">
        <v>21446.49414</v>
      </c>
      <c r="R296" s="39"/>
      <c r="S296" s="40">
        <v>11742.7707</v>
      </c>
      <c r="T296" s="40">
        <v>10138.09675</v>
      </c>
      <c r="U296" s="40">
        <v>2490.741431</v>
      </c>
      <c r="V296" s="40">
        <v>19142.7989</v>
      </c>
      <c r="W296" s="40">
        <v>971.0653275</v>
      </c>
      <c r="X296" s="40">
        <v>729.1484771</v>
      </c>
      <c r="Y296" s="40">
        <v>499.8025256</v>
      </c>
      <c r="Z296" s="40">
        <v>2303.69524</v>
      </c>
    </row>
    <row r="297">
      <c r="A297" s="28"/>
      <c r="B297" s="19">
        <v>41570.0</v>
      </c>
      <c r="C297" s="20">
        <v>43.0</v>
      </c>
      <c r="D297" s="26">
        <v>296.0</v>
      </c>
      <c r="E297" s="34">
        <f t="shared" si="30"/>
        <v>6938.806452</v>
      </c>
      <c r="F297" s="34">
        <f t="shared" si="31"/>
        <v>0.7419354839</v>
      </c>
      <c r="G297" s="35">
        <f t="shared" si="32"/>
        <v>6883.733819</v>
      </c>
      <c r="H297" s="32"/>
      <c r="I297" s="34">
        <f t="shared" si="2"/>
        <v>43</v>
      </c>
      <c r="J297" s="32"/>
      <c r="K297" s="28"/>
      <c r="L297" s="34">
        <f t="shared" si="4"/>
        <v>42261.04645</v>
      </c>
      <c r="M297" s="28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>
      <c r="A298" s="28"/>
      <c r="B298" s="19">
        <v>41571.0</v>
      </c>
      <c r="C298" s="20">
        <v>43.0</v>
      </c>
      <c r="D298" s="26">
        <v>297.0</v>
      </c>
      <c r="E298" s="34">
        <f t="shared" si="30"/>
        <v>6938.806452</v>
      </c>
      <c r="F298" s="34">
        <f t="shared" si="31"/>
        <v>0.7096774194</v>
      </c>
      <c r="G298" s="35">
        <f t="shared" si="32"/>
        <v>6876.84974</v>
      </c>
      <c r="H298" s="32"/>
      <c r="I298" s="34">
        <f t="shared" si="2"/>
        <v>43</v>
      </c>
      <c r="J298" s="32"/>
      <c r="K298" s="28"/>
      <c r="L298" s="34">
        <f t="shared" si="4"/>
        <v>42261.04645</v>
      </c>
      <c r="M298" s="28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>
      <c r="A299" s="28"/>
      <c r="B299" s="19">
        <v>41572.0</v>
      </c>
      <c r="C299" s="20">
        <v>43.0</v>
      </c>
      <c r="D299" s="26">
        <v>298.0</v>
      </c>
      <c r="E299" s="34">
        <f t="shared" si="30"/>
        <v>6938.806452</v>
      </c>
      <c r="F299" s="34">
        <f t="shared" si="31"/>
        <v>0.6774193548</v>
      </c>
      <c r="G299" s="35">
        <f t="shared" si="32"/>
        <v>6869.965661</v>
      </c>
      <c r="H299" s="32"/>
      <c r="I299" s="34">
        <f t="shared" si="2"/>
        <v>43</v>
      </c>
      <c r="J299" s="32"/>
      <c r="K299" s="28"/>
      <c r="L299" s="34">
        <f t="shared" si="4"/>
        <v>42261.04645</v>
      </c>
      <c r="M299" s="28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>
      <c r="A300" s="28"/>
      <c r="B300" s="19">
        <v>41573.0</v>
      </c>
      <c r="C300" s="20">
        <v>43.0</v>
      </c>
      <c r="D300" s="26">
        <v>299.0</v>
      </c>
      <c r="E300" s="34">
        <f t="shared" si="30"/>
        <v>6938.806452</v>
      </c>
      <c r="F300" s="34">
        <f t="shared" si="31"/>
        <v>0.6451612903</v>
      </c>
      <c r="G300" s="35">
        <f t="shared" si="32"/>
        <v>6863.081582</v>
      </c>
      <c r="H300" s="32"/>
      <c r="I300" s="34">
        <f t="shared" si="2"/>
        <v>43</v>
      </c>
      <c r="J300" s="32"/>
      <c r="K300" s="28"/>
      <c r="L300" s="34">
        <f t="shared" si="4"/>
        <v>42261.04645</v>
      </c>
      <c r="M300" s="28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>
      <c r="A301" s="28"/>
      <c r="B301" s="19">
        <v>41574.0</v>
      </c>
      <c r="C301" s="20">
        <v>43.0</v>
      </c>
      <c r="D301" s="26">
        <v>300.0</v>
      </c>
      <c r="E301" s="34">
        <f t="shared" si="30"/>
        <v>6938.806452</v>
      </c>
      <c r="F301" s="34">
        <f t="shared" si="31"/>
        <v>0.6129032258</v>
      </c>
      <c r="G301" s="35">
        <f t="shared" si="32"/>
        <v>6856.197503</v>
      </c>
      <c r="H301" s="32"/>
      <c r="I301" s="34">
        <f t="shared" si="2"/>
        <v>43</v>
      </c>
      <c r="J301" s="32"/>
      <c r="K301" s="28"/>
      <c r="L301" s="34">
        <f t="shared" si="4"/>
        <v>42261.04645</v>
      </c>
      <c r="M301" s="28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>
      <c r="A302" s="28"/>
      <c r="B302" s="19">
        <v>41575.0</v>
      </c>
      <c r="C302" s="20">
        <v>43.0</v>
      </c>
      <c r="D302" s="26">
        <v>301.0</v>
      </c>
      <c r="E302" s="34">
        <f t="shared" si="30"/>
        <v>6938.806452</v>
      </c>
      <c r="F302" s="34">
        <f t="shared" si="31"/>
        <v>0.5806451613</v>
      </c>
      <c r="G302" s="35">
        <f t="shared" si="32"/>
        <v>6849.313424</v>
      </c>
      <c r="H302" s="32"/>
      <c r="I302" s="34">
        <f t="shared" si="2"/>
        <v>43</v>
      </c>
      <c r="J302" s="32"/>
      <c r="K302" s="28"/>
      <c r="L302" s="34">
        <f t="shared" si="4"/>
        <v>42261.04645</v>
      </c>
      <c r="M302" s="28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>
      <c r="A303" s="28"/>
      <c r="B303" s="19">
        <v>41576.0</v>
      </c>
      <c r="C303" s="20">
        <v>44.0</v>
      </c>
      <c r="D303" s="26">
        <v>302.0</v>
      </c>
      <c r="E303" s="34">
        <f t="shared" si="30"/>
        <v>6938.806452</v>
      </c>
      <c r="F303" s="34">
        <f t="shared" si="31"/>
        <v>0.5483870968</v>
      </c>
      <c r="G303" s="35">
        <f t="shared" si="32"/>
        <v>6842.429344</v>
      </c>
      <c r="H303" s="32"/>
      <c r="I303" s="34">
        <f t="shared" si="2"/>
        <v>44</v>
      </c>
      <c r="J303" s="35">
        <f>SUM(G303:G309)</f>
        <v>47752.43975</v>
      </c>
      <c r="K303" s="20">
        <v>47752.43975</v>
      </c>
      <c r="L303" s="34">
        <f t="shared" si="4"/>
        <v>42261.04645</v>
      </c>
      <c r="M303" s="20">
        <v>42261.04645</v>
      </c>
      <c r="N303" s="40">
        <v>13229.10598</v>
      </c>
      <c r="O303" s="40">
        <v>10986.67397</v>
      </c>
      <c r="P303" s="40">
        <v>2897.31472</v>
      </c>
      <c r="Q303" s="40">
        <v>20096.52239</v>
      </c>
      <c r="R303" s="39"/>
      <c r="S303" s="40">
        <v>10791.9617</v>
      </c>
      <c r="T303" s="40">
        <v>9677.00864</v>
      </c>
      <c r="U303" s="40">
        <v>2633.669025</v>
      </c>
      <c r="V303" s="40">
        <v>18719.26304</v>
      </c>
      <c r="W303" s="40">
        <v>2437.144283</v>
      </c>
      <c r="X303" s="40">
        <v>1309.665326</v>
      </c>
      <c r="Y303" s="40">
        <v>263.6456951</v>
      </c>
      <c r="Z303" s="40">
        <v>1377.259341</v>
      </c>
    </row>
    <row r="304">
      <c r="A304" s="28"/>
      <c r="B304" s="19">
        <v>41577.0</v>
      </c>
      <c r="C304" s="20">
        <v>44.0</v>
      </c>
      <c r="D304" s="26">
        <v>303.0</v>
      </c>
      <c r="E304" s="34">
        <f t="shared" si="30"/>
        <v>6938.806452</v>
      </c>
      <c r="F304" s="34">
        <f t="shared" si="31"/>
        <v>0.5161290323</v>
      </c>
      <c r="G304" s="35">
        <f t="shared" si="32"/>
        <v>6835.545265</v>
      </c>
      <c r="H304" s="32"/>
      <c r="I304" s="34">
        <f t="shared" si="2"/>
        <v>44</v>
      </c>
      <c r="J304" s="32"/>
      <c r="K304" s="28"/>
      <c r="L304" s="34">
        <f t="shared" si="4"/>
        <v>42261.04645</v>
      </c>
      <c r="M304" s="28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>
      <c r="A305" s="28"/>
      <c r="B305" s="19">
        <v>41578.0</v>
      </c>
      <c r="C305" s="20">
        <v>44.0</v>
      </c>
      <c r="D305" s="26">
        <v>304.0</v>
      </c>
      <c r="E305" s="34">
        <f t="shared" si="30"/>
        <v>6938.806452</v>
      </c>
      <c r="F305" s="34">
        <f t="shared" si="31"/>
        <v>0.4838709677</v>
      </c>
      <c r="G305" s="35">
        <f t="shared" si="32"/>
        <v>6828.661186</v>
      </c>
      <c r="H305" s="32"/>
      <c r="I305" s="34">
        <f t="shared" si="2"/>
        <v>44</v>
      </c>
      <c r="J305" s="32"/>
      <c r="K305" s="28"/>
      <c r="L305" s="34">
        <f t="shared" si="4"/>
        <v>42261.04645</v>
      </c>
      <c r="M305" s="28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>
      <c r="A306" s="28"/>
      <c r="B306" s="19">
        <v>41579.0</v>
      </c>
      <c r="C306" s="20">
        <v>44.0</v>
      </c>
      <c r="D306" s="26">
        <v>305.0</v>
      </c>
      <c r="E306" s="34">
        <f>A308/30</f>
        <v>6725.4</v>
      </c>
      <c r="F306" s="34">
        <f t="shared" si="31"/>
        <v>0.4516129032</v>
      </c>
      <c r="G306" s="35">
        <f t="shared" si="32"/>
        <v>6821.777107</v>
      </c>
      <c r="H306" s="32"/>
      <c r="I306" s="34">
        <f t="shared" si="2"/>
        <v>44</v>
      </c>
      <c r="J306" s="32"/>
      <c r="K306" s="28"/>
      <c r="L306" s="34">
        <f t="shared" si="4"/>
        <v>42261.04645</v>
      </c>
      <c r="M306" s="28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>
      <c r="A307" s="13" t="s">
        <v>74</v>
      </c>
      <c r="B307" s="19">
        <v>41580.0</v>
      </c>
      <c r="C307" s="20">
        <v>44.0</v>
      </c>
      <c r="D307" s="26">
        <v>306.0</v>
      </c>
      <c r="E307" s="34">
        <f>A308/30</f>
        <v>6725.4</v>
      </c>
      <c r="F307" s="34">
        <f t="shared" si="31"/>
        <v>0.4193548387</v>
      </c>
      <c r="G307" s="35">
        <f t="shared" si="32"/>
        <v>6814.893028</v>
      </c>
      <c r="H307" s="32"/>
      <c r="I307" s="34">
        <f t="shared" si="2"/>
        <v>44</v>
      </c>
      <c r="J307" s="32"/>
      <c r="K307" s="28"/>
      <c r="L307" s="34">
        <f t="shared" si="4"/>
        <v>42261.04645</v>
      </c>
      <c r="M307" s="28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>
      <c r="A308" s="20">
        <v>201762.0</v>
      </c>
      <c r="B308" s="19">
        <v>41581.0</v>
      </c>
      <c r="C308" s="20">
        <v>44.0</v>
      </c>
      <c r="D308" s="26">
        <v>307.0</v>
      </c>
      <c r="E308" s="34">
        <f t="shared" ref="E308:E335" si="33">E307</f>
        <v>6725.4</v>
      </c>
      <c r="F308" s="34">
        <f t="shared" si="31"/>
        <v>0.3870967742</v>
      </c>
      <c r="G308" s="35">
        <f t="shared" si="32"/>
        <v>6808.008949</v>
      </c>
      <c r="H308" s="32"/>
      <c r="I308" s="34">
        <f t="shared" si="2"/>
        <v>44</v>
      </c>
      <c r="J308" s="32"/>
      <c r="K308" s="28"/>
      <c r="L308" s="34">
        <f t="shared" si="4"/>
        <v>42261.04645</v>
      </c>
      <c r="M308" s="28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>
      <c r="A309" s="28"/>
      <c r="B309" s="19">
        <v>41582.0</v>
      </c>
      <c r="C309" s="20">
        <v>44.0</v>
      </c>
      <c r="D309" s="26">
        <v>308.0</v>
      </c>
      <c r="E309" s="34">
        <f t="shared" si="33"/>
        <v>6725.4</v>
      </c>
      <c r="F309" s="34">
        <f t="shared" si="31"/>
        <v>0.3548387097</v>
      </c>
      <c r="G309" s="35">
        <f t="shared" si="32"/>
        <v>6801.12487</v>
      </c>
      <c r="H309" s="32"/>
      <c r="I309" s="34">
        <f t="shared" si="2"/>
        <v>44</v>
      </c>
      <c r="J309" s="32"/>
      <c r="K309" s="28"/>
      <c r="L309" s="34">
        <f t="shared" si="4"/>
        <v>42261.04645</v>
      </c>
      <c r="M309" s="28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>
      <c r="A310" s="28"/>
      <c r="B310" s="19">
        <v>41583.0</v>
      </c>
      <c r="C310" s="20">
        <v>45.0</v>
      </c>
      <c r="D310" s="26">
        <v>309.0</v>
      </c>
      <c r="E310" s="34">
        <f t="shared" si="33"/>
        <v>6725.4</v>
      </c>
      <c r="F310" s="34">
        <f t="shared" si="31"/>
        <v>0.3225806452</v>
      </c>
      <c r="G310" s="35">
        <f t="shared" si="32"/>
        <v>6794.240791</v>
      </c>
      <c r="H310" s="32"/>
      <c r="I310" s="34">
        <f t="shared" si="2"/>
        <v>45</v>
      </c>
      <c r="J310" s="35">
        <f>SUM(G310:G316)</f>
        <v>47415.11988</v>
      </c>
      <c r="K310" s="20">
        <v>47415.11988</v>
      </c>
      <c r="L310" s="34">
        <f t="shared" si="4"/>
        <v>42261.04645</v>
      </c>
      <c r="M310" s="20">
        <v>42261.04645</v>
      </c>
      <c r="N310" s="40">
        <v>12920.24896</v>
      </c>
      <c r="O310" s="40">
        <v>11363.45764</v>
      </c>
      <c r="P310" s="40">
        <v>3004.222254</v>
      </c>
      <c r="Q310" s="40">
        <v>20998.38283</v>
      </c>
      <c r="R310" s="39"/>
      <c r="S310" s="40">
        <v>10784.99054</v>
      </c>
      <c r="T310" s="40">
        <v>9727.446547</v>
      </c>
      <c r="U310" s="40">
        <v>2493.392986</v>
      </c>
      <c r="V310" s="40">
        <v>17862.03192</v>
      </c>
      <c r="W310" s="40">
        <v>2135.258429</v>
      </c>
      <c r="X310" s="40">
        <v>1636.011095</v>
      </c>
      <c r="Y310" s="40">
        <v>510.8292674</v>
      </c>
      <c r="Z310" s="40">
        <v>3136.350916</v>
      </c>
    </row>
    <row r="311">
      <c r="A311" s="28"/>
      <c r="B311" s="19">
        <v>41584.0</v>
      </c>
      <c r="C311" s="20">
        <v>45.0</v>
      </c>
      <c r="D311" s="26">
        <v>310.0</v>
      </c>
      <c r="E311" s="34">
        <f t="shared" si="33"/>
        <v>6725.4</v>
      </c>
      <c r="F311" s="34">
        <f t="shared" si="31"/>
        <v>0.2903225806</v>
      </c>
      <c r="G311" s="35">
        <f t="shared" si="32"/>
        <v>6787.356712</v>
      </c>
      <c r="H311" s="32"/>
      <c r="I311" s="34">
        <f t="shared" si="2"/>
        <v>45</v>
      </c>
      <c r="J311" s="32"/>
      <c r="K311" s="28"/>
      <c r="L311" s="34">
        <f t="shared" si="4"/>
        <v>42261.04645</v>
      </c>
      <c r="M311" s="28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>
      <c r="A312" s="28"/>
      <c r="B312" s="19">
        <v>41585.0</v>
      </c>
      <c r="C312" s="20">
        <v>45.0</v>
      </c>
      <c r="D312" s="26">
        <v>311.0</v>
      </c>
      <c r="E312" s="34">
        <f t="shared" si="33"/>
        <v>6725.4</v>
      </c>
      <c r="F312" s="34">
        <f t="shared" si="31"/>
        <v>0.2580645161</v>
      </c>
      <c r="G312" s="35">
        <f t="shared" si="32"/>
        <v>6780.472633</v>
      </c>
      <c r="H312" s="32"/>
      <c r="I312" s="34">
        <f t="shared" si="2"/>
        <v>45</v>
      </c>
      <c r="J312" s="32"/>
      <c r="K312" s="28"/>
      <c r="L312" s="34">
        <f t="shared" si="4"/>
        <v>42261.04645</v>
      </c>
      <c r="M312" s="28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>
      <c r="A313" s="28"/>
      <c r="B313" s="19">
        <v>41586.0</v>
      </c>
      <c r="C313" s="20">
        <v>45.0</v>
      </c>
      <c r="D313" s="26">
        <v>312.0</v>
      </c>
      <c r="E313" s="34">
        <f t="shared" si="33"/>
        <v>6725.4</v>
      </c>
      <c r="F313" s="34">
        <f t="shared" si="31"/>
        <v>0.2258064516</v>
      </c>
      <c r="G313" s="35">
        <f t="shared" si="32"/>
        <v>6773.588554</v>
      </c>
      <c r="H313" s="32"/>
      <c r="I313" s="34">
        <f t="shared" si="2"/>
        <v>45</v>
      </c>
      <c r="J313" s="32"/>
      <c r="K313" s="28"/>
      <c r="L313" s="34">
        <f t="shared" si="4"/>
        <v>42261.04645</v>
      </c>
      <c r="M313" s="28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>
      <c r="A314" s="28"/>
      <c r="B314" s="19">
        <v>41587.0</v>
      </c>
      <c r="C314" s="20">
        <v>45.0</v>
      </c>
      <c r="D314" s="26">
        <v>313.0</v>
      </c>
      <c r="E314" s="34">
        <f t="shared" si="33"/>
        <v>6725.4</v>
      </c>
      <c r="F314" s="34">
        <f t="shared" si="31"/>
        <v>0.1935483871</v>
      </c>
      <c r="G314" s="35">
        <f t="shared" si="32"/>
        <v>6766.704475</v>
      </c>
      <c r="H314" s="32"/>
      <c r="I314" s="34">
        <f t="shared" si="2"/>
        <v>45</v>
      </c>
      <c r="J314" s="32"/>
      <c r="K314" s="28"/>
      <c r="L314" s="34">
        <f t="shared" si="4"/>
        <v>42261.04645</v>
      </c>
      <c r="M314" s="28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>
      <c r="A315" s="28"/>
      <c r="B315" s="19">
        <v>41588.0</v>
      </c>
      <c r="C315" s="20">
        <v>45.0</v>
      </c>
      <c r="D315" s="26">
        <v>314.0</v>
      </c>
      <c r="E315" s="34">
        <f t="shared" si="33"/>
        <v>6725.4</v>
      </c>
      <c r="F315" s="34">
        <f t="shared" si="31"/>
        <v>0.1612903226</v>
      </c>
      <c r="G315" s="35">
        <f t="shared" si="32"/>
        <v>6759.820395</v>
      </c>
      <c r="H315" s="32"/>
      <c r="I315" s="34">
        <f t="shared" si="2"/>
        <v>45</v>
      </c>
      <c r="J315" s="32"/>
      <c r="K315" s="28"/>
      <c r="L315" s="34">
        <f t="shared" si="4"/>
        <v>42261.04645</v>
      </c>
      <c r="M315" s="28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>
      <c r="A316" s="28"/>
      <c r="B316" s="19">
        <v>41589.0</v>
      </c>
      <c r="C316" s="20">
        <v>45.0</v>
      </c>
      <c r="D316" s="26">
        <v>315.0</v>
      </c>
      <c r="E316" s="34">
        <f t="shared" si="33"/>
        <v>6725.4</v>
      </c>
      <c r="F316" s="34">
        <f t="shared" si="31"/>
        <v>0.1290322581</v>
      </c>
      <c r="G316" s="35">
        <f t="shared" si="32"/>
        <v>6752.936316</v>
      </c>
      <c r="H316" s="32"/>
      <c r="I316" s="34">
        <f t="shared" si="2"/>
        <v>45</v>
      </c>
      <c r="J316" s="32"/>
      <c r="K316" s="28"/>
      <c r="L316" s="34">
        <f t="shared" si="4"/>
        <v>42261.04645</v>
      </c>
      <c r="M316" s="28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>
      <c r="A317" s="28"/>
      <c r="B317" s="19">
        <v>41590.0</v>
      </c>
      <c r="C317" s="20">
        <v>46.0</v>
      </c>
      <c r="D317" s="26">
        <v>316.0</v>
      </c>
      <c r="E317" s="34">
        <f t="shared" si="33"/>
        <v>6725.4</v>
      </c>
      <c r="F317" s="34">
        <f t="shared" si="31"/>
        <v>0.09677419355</v>
      </c>
      <c r="G317" s="35">
        <f t="shared" si="32"/>
        <v>6746.052237</v>
      </c>
      <c r="H317" s="32"/>
      <c r="I317" s="34">
        <f t="shared" si="2"/>
        <v>46</v>
      </c>
      <c r="J317" s="35">
        <f>SUM(G317:G323)</f>
        <v>47118.9148</v>
      </c>
      <c r="K317" s="20">
        <v>47118.9148</v>
      </c>
      <c r="L317" s="34">
        <f t="shared" si="4"/>
        <v>42261.04645</v>
      </c>
      <c r="M317" s="20">
        <v>42261.04645</v>
      </c>
      <c r="N317" s="40">
        <v>12052.54151</v>
      </c>
      <c r="O317" s="40">
        <v>11381.29152</v>
      </c>
      <c r="P317" s="40">
        <v>2872.818506</v>
      </c>
      <c r="Q317" s="40">
        <v>19575.50424</v>
      </c>
      <c r="R317" s="39"/>
      <c r="S317" s="40">
        <v>11501.05526</v>
      </c>
      <c r="T317" s="40">
        <v>9704.594755</v>
      </c>
      <c r="U317" s="40">
        <v>2589.059133</v>
      </c>
      <c r="V317" s="40">
        <v>18725.94969</v>
      </c>
      <c r="W317" s="40">
        <v>551.486246</v>
      </c>
      <c r="X317" s="40">
        <v>1676.696764</v>
      </c>
      <c r="Y317" s="40">
        <v>283.7593728</v>
      </c>
      <c r="Z317" s="40">
        <v>849.554545</v>
      </c>
    </row>
    <row r="318">
      <c r="A318" s="28"/>
      <c r="B318" s="19">
        <v>41591.0</v>
      </c>
      <c r="C318" s="20">
        <v>46.0</v>
      </c>
      <c r="D318" s="26">
        <v>317.0</v>
      </c>
      <c r="E318" s="34">
        <f t="shared" si="33"/>
        <v>6725.4</v>
      </c>
      <c r="F318" s="34">
        <f t="shared" si="31"/>
        <v>0.06451612903</v>
      </c>
      <c r="G318" s="35">
        <f t="shared" si="32"/>
        <v>6739.168158</v>
      </c>
      <c r="H318" s="32"/>
      <c r="I318" s="34">
        <f t="shared" si="2"/>
        <v>46</v>
      </c>
      <c r="J318" s="32"/>
      <c r="K318" s="28"/>
      <c r="L318" s="34">
        <f t="shared" si="4"/>
        <v>42261.04645</v>
      </c>
      <c r="M318" s="28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>
      <c r="A319" s="28"/>
      <c r="B319" s="19">
        <v>41592.0</v>
      </c>
      <c r="C319" s="20">
        <v>46.0</v>
      </c>
      <c r="D319" s="26">
        <v>318.0</v>
      </c>
      <c r="E319" s="34">
        <f t="shared" si="33"/>
        <v>6725.4</v>
      </c>
      <c r="F319" s="34">
        <f t="shared" si="31"/>
        <v>0.03225806452</v>
      </c>
      <c r="G319" s="35">
        <f t="shared" si="32"/>
        <v>6732.284079</v>
      </c>
      <c r="H319" s="32"/>
      <c r="I319" s="34">
        <f t="shared" si="2"/>
        <v>46</v>
      </c>
      <c r="J319" s="32"/>
      <c r="K319" s="28"/>
      <c r="L319" s="34">
        <f t="shared" si="4"/>
        <v>42261.04645</v>
      </c>
      <c r="M319" s="28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>
      <c r="A320" s="28"/>
      <c r="B320" s="19">
        <v>41593.0</v>
      </c>
      <c r="C320" s="20">
        <v>46.0</v>
      </c>
      <c r="D320" s="26">
        <v>319.0</v>
      </c>
      <c r="E320" s="34">
        <f t="shared" si="33"/>
        <v>6725.4</v>
      </c>
      <c r="F320" s="34">
        <f t="shared" si="31"/>
        <v>0</v>
      </c>
      <c r="G320" s="35">
        <f>E320</f>
        <v>6725.4</v>
      </c>
      <c r="H320" s="32"/>
      <c r="I320" s="34">
        <f t="shared" si="2"/>
        <v>46</v>
      </c>
      <c r="J320" s="32"/>
      <c r="K320" s="28"/>
      <c r="L320" s="34">
        <f t="shared" si="4"/>
        <v>42261.04645</v>
      </c>
      <c r="M320" s="28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>
      <c r="A321" s="13"/>
      <c r="B321" s="19">
        <v>41594.0</v>
      </c>
      <c r="C321" s="20">
        <v>46.0</v>
      </c>
      <c r="D321" s="26">
        <v>320.0</v>
      </c>
      <c r="E321" s="34">
        <f t="shared" si="33"/>
        <v>6725.4</v>
      </c>
      <c r="F321" s="34">
        <f t="shared" ref="F321:F350" si="34">abs((D321-349)/(349-319))</f>
        <v>0.9666666667</v>
      </c>
      <c r="G321" s="35">
        <f t="shared" ref="G321:G350" si="35">E306*F321+(1-F321)*E336</f>
        <v>6725.368387</v>
      </c>
      <c r="H321" s="32"/>
      <c r="I321" s="34">
        <f t="shared" si="2"/>
        <v>46</v>
      </c>
      <c r="J321" s="32"/>
      <c r="K321" s="28"/>
      <c r="L321" s="34">
        <f t="shared" si="4"/>
        <v>42261.04645</v>
      </c>
      <c r="M321" s="28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>
      <c r="A322" s="13"/>
      <c r="B322" s="19">
        <v>41595.0</v>
      </c>
      <c r="C322" s="20">
        <v>46.0</v>
      </c>
      <c r="D322" s="26">
        <v>321.0</v>
      </c>
      <c r="E322" s="34">
        <f t="shared" si="33"/>
        <v>6725.4</v>
      </c>
      <c r="F322" s="34">
        <f t="shared" si="34"/>
        <v>0.9333333333</v>
      </c>
      <c r="G322" s="35">
        <f t="shared" si="35"/>
        <v>6725.336774</v>
      </c>
      <c r="H322" s="32"/>
      <c r="I322" s="34">
        <f t="shared" si="2"/>
        <v>46</v>
      </c>
      <c r="J322" s="32"/>
      <c r="K322" s="28"/>
      <c r="L322" s="34">
        <f t="shared" si="4"/>
        <v>42261.04645</v>
      </c>
      <c r="M322" s="28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>
      <c r="A323" s="28"/>
      <c r="B323" s="19">
        <v>41596.0</v>
      </c>
      <c r="C323" s="20">
        <v>46.0</v>
      </c>
      <c r="D323" s="26">
        <v>322.0</v>
      </c>
      <c r="E323" s="34">
        <f t="shared" si="33"/>
        <v>6725.4</v>
      </c>
      <c r="F323" s="34">
        <f t="shared" si="34"/>
        <v>0.9</v>
      </c>
      <c r="G323" s="35">
        <f t="shared" si="35"/>
        <v>6725.305161</v>
      </c>
      <c r="H323" s="32"/>
      <c r="I323" s="34">
        <f t="shared" si="2"/>
        <v>46</v>
      </c>
      <c r="J323" s="32"/>
      <c r="K323" s="28"/>
      <c r="L323" s="34">
        <f t="shared" si="4"/>
        <v>42261.04645</v>
      </c>
      <c r="M323" s="28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>
      <c r="A324" s="28"/>
      <c r="B324" s="19">
        <v>41597.0</v>
      </c>
      <c r="C324" s="20">
        <v>47.0</v>
      </c>
      <c r="D324" s="26">
        <v>323.0</v>
      </c>
      <c r="E324" s="34">
        <f t="shared" si="33"/>
        <v>6725.4</v>
      </c>
      <c r="F324" s="34">
        <f t="shared" si="34"/>
        <v>0.8666666667</v>
      </c>
      <c r="G324" s="35">
        <f t="shared" si="35"/>
        <v>6725.273548</v>
      </c>
      <c r="H324" s="32"/>
      <c r="I324" s="34">
        <f t="shared" si="2"/>
        <v>47</v>
      </c>
      <c r="J324" s="35">
        <f>SUM(G324:G330)</f>
        <v>47076.25097</v>
      </c>
      <c r="K324" s="20">
        <v>47076.25097</v>
      </c>
      <c r="L324" s="34">
        <f t="shared" si="4"/>
        <v>42261.04645</v>
      </c>
      <c r="M324" s="20">
        <v>42261.04645</v>
      </c>
      <c r="N324" s="40">
        <v>12986.1075</v>
      </c>
      <c r="O324" s="40">
        <v>11692.12384</v>
      </c>
      <c r="P324" s="40">
        <v>2942.521264</v>
      </c>
      <c r="Q324" s="40">
        <v>20041.29394</v>
      </c>
      <c r="R324" s="39"/>
      <c r="S324" s="40">
        <v>10761.43079</v>
      </c>
      <c r="T324" s="40">
        <v>10199.80326</v>
      </c>
      <c r="U324" s="40">
        <v>2541.763138</v>
      </c>
      <c r="V324" s="40">
        <v>18256.08902</v>
      </c>
      <c r="W324" s="40">
        <v>2224.676712</v>
      </c>
      <c r="X324" s="40">
        <v>1492.320576</v>
      </c>
      <c r="Y324" s="40">
        <v>400.7581262</v>
      </c>
      <c r="Z324" s="40">
        <v>1785.204916</v>
      </c>
    </row>
    <row r="325">
      <c r="A325" s="28"/>
      <c r="B325" s="19">
        <v>41598.0</v>
      </c>
      <c r="C325" s="20">
        <v>47.0</v>
      </c>
      <c r="D325" s="26">
        <v>324.0</v>
      </c>
      <c r="E325" s="34">
        <f t="shared" si="33"/>
        <v>6725.4</v>
      </c>
      <c r="F325" s="34">
        <f t="shared" si="34"/>
        <v>0.8333333333</v>
      </c>
      <c r="G325" s="35">
        <f t="shared" si="35"/>
        <v>6725.241935</v>
      </c>
      <c r="H325" s="32"/>
      <c r="I325" s="34">
        <f t="shared" si="2"/>
        <v>47</v>
      </c>
      <c r="J325" s="32"/>
      <c r="K325" s="28"/>
      <c r="L325" s="34">
        <f t="shared" si="4"/>
        <v>42261.04645</v>
      </c>
      <c r="M325" s="28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>
      <c r="A326" s="28"/>
      <c r="B326" s="19">
        <v>41599.0</v>
      </c>
      <c r="C326" s="20">
        <v>47.0</v>
      </c>
      <c r="D326" s="26">
        <v>325.0</v>
      </c>
      <c r="E326" s="34">
        <f t="shared" si="33"/>
        <v>6725.4</v>
      </c>
      <c r="F326" s="34">
        <f t="shared" si="34"/>
        <v>0.8</v>
      </c>
      <c r="G326" s="35">
        <f t="shared" si="35"/>
        <v>6725.210323</v>
      </c>
      <c r="H326" s="32"/>
      <c r="I326" s="34">
        <f t="shared" si="2"/>
        <v>47</v>
      </c>
      <c r="J326" s="32"/>
      <c r="K326" s="28"/>
      <c r="L326" s="34">
        <f t="shared" si="4"/>
        <v>42261.04645</v>
      </c>
      <c r="M326" s="28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>
      <c r="A327" s="28"/>
      <c r="B327" s="19">
        <v>41600.0</v>
      </c>
      <c r="C327" s="20">
        <v>47.0</v>
      </c>
      <c r="D327" s="26">
        <v>326.0</v>
      </c>
      <c r="E327" s="34">
        <f t="shared" si="33"/>
        <v>6725.4</v>
      </c>
      <c r="F327" s="34">
        <f t="shared" si="34"/>
        <v>0.7666666667</v>
      </c>
      <c r="G327" s="35">
        <f t="shared" si="35"/>
        <v>6725.17871</v>
      </c>
      <c r="H327" s="32"/>
      <c r="I327" s="34">
        <f t="shared" si="2"/>
        <v>47</v>
      </c>
      <c r="J327" s="32"/>
      <c r="K327" s="28"/>
      <c r="L327" s="34">
        <f t="shared" si="4"/>
        <v>42261.04645</v>
      </c>
      <c r="M327" s="28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>
      <c r="A328" s="28"/>
      <c r="B328" s="19">
        <v>41601.0</v>
      </c>
      <c r="C328" s="20">
        <v>47.0</v>
      </c>
      <c r="D328" s="26">
        <v>327.0</v>
      </c>
      <c r="E328" s="34">
        <f t="shared" si="33"/>
        <v>6725.4</v>
      </c>
      <c r="F328" s="34">
        <f t="shared" si="34"/>
        <v>0.7333333333</v>
      </c>
      <c r="G328" s="35">
        <f t="shared" si="35"/>
        <v>6725.147097</v>
      </c>
      <c r="H328" s="32"/>
      <c r="I328" s="34">
        <f t="shared" si="2"/>
        <v>47</v>
      </c>
      <c r="J328" s="32"/>
      <c r="K328" s="28"/>
      <c r="L328" s="34">
        <f t="shared" si="4"/>
        <v>42261.04645</v>
      </c>
      <c r="M328" s="28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>
      <c r="A329" s="28"/>
      <c r="B329" s="19">
        <v>41602.0</v>
      </c>
      <c r="C329" s="20">
        <v>47.0</v>
      </c>
      <c r="D329" s="26">
        <v>328.0</v>
      </c>
      <c r="E329" s="34">
        <f t="shared" si="33"/>
        <v>6725.4</v>
      </c>
      <c r="F329" s="34">
        <f t="shared" si="34"/>
        <v>0.7</v>
      </c>
      <c r="G329" s="35">
        <f t="shared" si="35"/>
        <v>6725.115484</v>
      </c>
      <c r="H329" s="32"/>
      <c r="I329" s="34">
        <f t="shared" si="2"/>
        <v>47</v>
      </c>
      <c r="J329" s="32"/>
      <c r="K329" s="28"/>
      <c r="L329" s="34">
        <f t="shared" si="4"/>
        <v>42261.04645</v>
      </c>
      <c r="M329" s="28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>
      <c r="A330" s="28"/>
      <c r="B330" s="19">
        <v>41603.0</v>
      </c>
      <c r="C330" s="20">
        <v>47.0</v>
      </c>
      <c r="D330" s="26">
        <v>329.0</v>
      </c>
      <c r="E330" s="34">
        <f t="shared" si="33"/>
        <v>6725.4</v>
      </c>
      <c r="F330" s="34">
        <f t="shared" si="34"/>
        <v>0.6666666667</v>
      </c>
      <c r="G330" s="35">
        <f t="shared" si="35"/>
        <v>6725.083871</v>
      </c>
      <c r="H330" s="32"/>
      <c r="I330" s="34">
        <f t="shared" si="2"/>
        <v>47</v>
      </c>
      <c r="J330" s="32"/>
      <c r="K330" s="28"/>
      <c r="L330" s="34">
        <f t="shared" si="4"/>
        <v>42261.04645</v>
      </c>
      <c r="M330" s="28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>
      <c r="A331" s="28"/>
      <c r="B331" s="19">
        <v>41604.0</v>
      </c>
      <c r="C331" s="20">
        <v>48.0</v>
      </c>
      <c r="D331" s="26">
        <v>330.0</v>
      </c>
      <c r="E331" s="34">
        <f t="shared" si="33"/>
        <v>6725.4</v>
      </c>
      <c r="F331" s="34">
        <f t="shared" si="34"/>
        <v>0.6333333333</v>
      </c>
      <c r="G331" s="35">
        <f t="shared" si="35"/>
        <v>6725.052258</v>
      </c>
      <c r="H331" s="32"/>
      <c r="I331" s="34">
        <f t="shared" si="2"/>
        <v>48</v>
      </c>
      <c r="J331" s="35">
        <f>SUM(G331:G337)</f>
        <v>47074.70194</v>
      </c>
      <c r="K331" s="20">
        <v>47074.70194</v>
      </c>
      <c r="L331" s="34">
        <f t="shared" si="4"/>
        <v>42261.04645</v>
      </c>
      <c r="M331" s="20">
        <v>42261.04645</v>
      </c>
      <c r="N331" s="40">
        <v>12712.55167</v>
      </c>
      <c r="O331" s="40">
        <v>10684.25657</v>
      </c>
      <c r="P331" s="40">
        <v>2932.139586</v>
      </c>
      <c r="Q331" s="40">
        <v>20645.23725</v>
      </c>
      <c r="R331" s="39"/>
      <c r="S331" s="40">
        <v>11546.65017</v>
      </c>
      <c r="T331" s="40">
        <v>10354.39561</v>
      </c>
      <c r="U331" s="40">
        <v>2488.364028</v>
      </c>
      <c r="V331" s="40">
        <v>18919.93503</v>
      </c>
      <c r="W331" s="40">
        <v>1165.901497</v>
      </c>
      <c r="X331" s="40">
        <v>329.8609639</v>
      </c>
      <c r="Y331" s="40">
        <v>443.7755579</v>
      </c>
      <c r="Z331" s="40">
        <v>1725.302219</v>
      </c>
    </row>
    <row r="332">
      <c r="A332" s="28"/>
      <c r="B332" s="19">
        <v>41605.0</v>
      </c>
      <c r="C332" s="20">
        <v>48.0</v>
      </c>
      <c r="D332" s="26">
        <v>331.0</v>
      </c>
      <c r="E332" s="34">
        <f t="shared" si="33"/>
        <v>6725.4</v>
      </c>
      <c r="F332" s="34">
        <f t="shared" si="34"/>
        <v>0.6</v>
      </c>
      <c r="G332" s="35">
        <f t="shared" si="35"/>
        <v>6725.020645</v>
      </c>
      <c r="H332" s="32"/>
      <c r="I332" s="34">
        <f t="shared" si="2"/>
        <v>48</v>
      </c>
      <c r="J332" s="32"/>
      <c r="K332" s="28"/>
      <c r="L332" s="34">
        <f t="shared" si="4"/>
        <v>42261.04645</v>
      </c>
      <c r="M332" s="28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>
      <c r="A333" s="28"/>
      <c r="B333" s="19">
        <v>41606.0</v>
      </c>
      <c r="C333" s="20">
        <v>48.0</v>
      </c>
      <c r="D333" s="26">
        <v>332.0</v>
      </c>
      <c r="E333" s="34">
        <f t="shared" si="33"/>
        <v>6725.4</v>
      </c>
      <c r="F333" s="34">
        <f t="shared" si="34"/>
        <v>0.5666666667</v>
      </c>
      <c r="G333" s="35">
        <f t="shared" si="35"/>
        <v>6724.989032</v>
      </c>
      <c r="H333" s="32"/>
      <c r="I333" s="34">
        <f t="shared" si="2"/>
        <v>48</v>
      </c>
      <c r="J333" s="32"/>
      <c r="K333" s="28"/>
      <c r="L333" s="34">
        <f t="shared" si="4"/>
        <v>42261.04645</v>
      </c>
      <c r="M333" s="28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>
      <c r="A334" s="28"/>
      <c r="B334" s="19">
        <v>41607.0</v>
      </c>
      <c r="C334" s="20">
        <v>48.0</v>
      </c>
      <c r="D334" s="26">
        <v>333.0</v>
      </c>
      <c r="E334" s="34">
        <f t="shared" si="33"/>
        <v>6725.4</v>
      </c>
      <c r="F334" s="34">
        <f t="shared" si="34"/>
        <v>0.5333333333</v>
      </c>
      <c r="G334" s="35">
        <f t="shared" si="35"/>
        <v>6724.957419</v>
      </c>
      <c r="H334" s="32"/>
      <c r="I334" s="34">
        <f t="shared" si="2"/>
        <v>48</v>
      </c>
      <c r="J334" s="32"/>
      <c r="K334" s="28"/>
      <c r="L334" s="34">
        <f t="shared" si="4"/>
        <v>42261.04645</v>
      </c>
      <c r="M334" s="28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>
      <c r="A335" s="28"/>
      <c r="B335" s="19">
        <v>41608.0</v>
      </c>
      <c r="C335" s="20">
        <v>48.0</v>
      </c>
      <c r="D335" s="26">
        <v>334.0</v>
      </c>
      <c r="E335" s="34">
        <f t="shared" si="33"/>
        <v>6725.4</v>
      </c>
      <c r="F335" s="34">
        <f t="shared" si="34"/>
        <v>0.5</v>
      </c>
      <c r="G335" s="35">
        <f t="shared" si="35"/>
        <v>6724.925806</v>
      </c>
      <c r="H335" s="32"/>
      <c r="I335" s="34">
        <f t="shared" si="2"/>
        <v>48</v>
      </c>
      <c r="J335" s="32"/>
      <c r="K335" s="28"/>
      <c r="L335" s="34">
        <f t="shared" si="4"/>
        <v>42261.04645</v>
      </c>
      <c r="M335" s="28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>
      <c r="A336" s="28"/>
      <c r="B336" s="19">
        <v>41609.0</v>
      </c>
      <c r="C336" s="20">
        <v>48.0</v>
      </c>
      <c r="D336" s="26">
        <v>335.0</v>
      </c>
      <c r="E336" s="34">
        <f>A338/31</f>
        <v>6724.451613</v>
      </c>
      <c r="F336" s="34">
        <f t="shared" si="34"/>
        <v>0.4666666667</v>
      </c>
      <c r="G336" s="35">
        <f t="shared" si="35"/>
        <v>6724.894194</v>
      </c>
      <c r="H336" s="32"/>
      <c r="I336" s="34">
        <f t="shared" si="2"/>
        <v>48</v>
      </c>
      <c r="J336" s="32"/>
      <c r="K336" s="28"/>
      <c r="L336" s="34">
        <f t="shared" si="4"/>
        <v>42261.04645</v>
      </c>
      <c r="M336" s="28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>
      <c r="A337" s="13" t="s">
        <v>75</v>
      </c>
      <c r="B337" s="19">
        <v>41610.0</v>
      </c>
      <c r="C337" s="20">
        <v>48.0</v>
      </c>
      <c r="D337" s="26">
        <v>336.0</v>
      </c>
      <c r="E337" s="34">
        <f>A338/31</f>
        <v>6724.451613</v>
      </c>
      <c r="F337" s="34">
        <f t="shared" si="34"/>
        <v>0.4333333333</v>
      </c>
      <c r="G337" s="35">
        <f t="shared" si="35"/>
        <v>6724.862581</v>
      </c>
      <c r="H337" s="32"/>
      <c r="I337" s="34">
        <f t="shared" si="2"/>
        <v>48</v>
      </c>
      <c r="J337" s="32"/>
      <c r="K337" s="28"/>
      <c r="L337" s="34">
        <f t="shared" si="4"/>
        <v>42261.04645</v>
      </c>
      <c r="M337" s="28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>
      <c r="A338" s="20">
        <v>208458.0</v>
      </c>
      <c r="B338" s="19">
        <v>41611.0</v>
      </c>
      <c r="C338" s="20">
        <v>49.0</v>
      </c>
      <c r="D338" s="26">
        <v>337.0</v>
      </c>
      <c r="E338" s="34">
        <f t="shared" ref="E338:E366" si="36">E337</f>
        <v>6724.451613</v>
      </c>
      <c r="F338" s="34">
        <f t="shared" si="34"/>
        <v>0.4</v>
      </c>
      <c r="G338" s="35">
        <f t="shared" si="35"/>
        <v>6724.830968</v>
      </c>
      <c r="H338" s="32"/>
      <c r="I338" s="34">
        <f t="shared" si="2"/>
        <v>49</v>
      </c>
      <c r="J338" s="35">
        <f>SUM(G338:G344)</f>
        <v>47073.1529</v>
      </c>
      <c r="K338" s="20">
        <v>47073.1529</v>
      </c>
      <c r="L338" s="34">
        <f t="shared" si="4"/>
        <v>42261.04645</v>
      </c>
      <c r="M338" s="20">
        <v>42261.04645</v>
      </c>
      <c r="N338" s="40">
        <v>13002.02265</v>
      </c>
      <c r="O338" s="40">
        <v>10632.88415</v>
      </c>
      <c r="P338" s="40">
        <v>2805.805858</v>
      </c>
      <c r="Q338" s="40">
        <v>20938.92685</v>
      </c>
      <c r="R338" s="39"/>
      <c r="S338" s="40">
        <v>11544.265</v>
      </c>
      <c r="T338" s="40">
        <v>10522.22625</v>
      </c>
      <c r="U338" s="40">
        <v>2469.035221</v>
      </c>
      <c r="V338" s="40">
        <v>18262.25681</v>
      </c>
      <c r="W338" s="40">
        <v>1457.757646</v>
      </c>
      <c r="X338" s="40">
        <v>110.6578908</v>
      </c>
      <c r="Y338" s="40">
        <v>336.7706374</v>
      </c>
      <c r="Z338" s="40">
        <v>2676.670037</v>
      </c>
    </row>
    <row r="339">
      <c r="A339" s="28"/>
      <c r="B339" s="19">
        <v>41612.0</v>
      </c>
      <c r="C339" s="20">
        <v>49.0</v>
      </c>
      <c r="D339" s="26">
        <v>338.0</v>
      </c>
      <c r="E339" s="34">
        <f t="shared" si="36"/>
        <v>6724.451613</v>
      </c>
      <c r="F339" s="34">
        <f t="shared" si="34"/>
        <v>0.3666666667</v>
      </c>
      <c r="G339" s="35">
        <f t="shared" si="35"/>
        <v>6724.799355</v>
      </c>
      <c r="H339" s="32"/>
      <c r="I339" s="34">
        <f t="shared" si="2"/>
        <v>49</v>
      </c>
      <c r="J339" s="32"/>
      <c r="K339" s="28"/>
      <c r="L339" s="34">
        <f t="shared" si="4"/>
        <v>42261.04645</v>
      </c>
      <c r="M339" s="28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>
      <c r="A340" s="28"/>
      <c r="B340" s="19">
        <v>41613.0</v>
      </c>
      <c r="C340" s="20">
        <v>49.0</v>
      </c>
      <c r="D340" s="26">
        <v>339.0</v>
      </c>
      <c r="E340" s="34">
        <f t="shared" si="36"/>
        <v>6724.451613</v>
      </c>
      <c r="F340" s="34">
        <f t="shared" si="34"/>
        <v>0.3333333333</v>
      </c>
      <c r="G340" s="35">
        <f t="shared" si="35"/>
        <v>6724.767742</v>
      </c>
      <c r="H340" s="32"/>
      <c r="I340" s="34">
        <f t="shared" si="2"/>
        <v>49</v>
      </c>
      <c r="J340" s="32"/>
      <c r="K340" s="28"/>
      <c r="L340" s="34">
        <f t="shared" si="4"/>
        <v>42261.04645</v>
      </c>
      <c r="M340" s="28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>
      <c r="A341" s="28"/>
      <c r="B341" s="19">
        <v>41614.0</v>
      </c>
      <c r="C341" s="20">
        <v>49.0</v>
      </c>
      <c r="D341" s="26">
        <v>340.0</v>
      </c>
      <c r="E341" s="34">
        <f t="shared" si="36"/>
        <v>6724.451613</v>
      </c>
      <c r="F341" s="34">
        <f t="shared" si="34"/>
        <v>0.3</v>
      </c>
      <c r="G341" s="35">
        <f t="shared" si="35"/>
        <v>6724.736129</v>
      </c>
      <c r="H341" s="32"/>
      <c r="I341" s="34">
        <f t="shared" si="2"/>
        <v>49</v>
      </c>
      <c r="J341" s="32"/>
      <c r="K341" s="28"/>
      <c r="L341" s="34">
        <f t="shared" si="4"/>
        <v>42261.04645</v>
      </c>
      <c r="M341" s="28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>
      <c r="A342" s="28"/>
      <c r="B342" s="19">
        <v>41615.0</v>
      </c>
      <c r="C342" s="20">
        <v>49.0</v>
      </c>
      <c r="D342" s="26">
        <v>341.0</v>
      </c>
      <c r="E342" s="34">
        <f t="shared" si="36"/>
        <v>6724.451613</v>
      </c>
      <c r="F342" s="34">
        <f t="shared" si="34"/>
        <v>0.2666666667</v>
      </c>
      <c r="G342" s="35">
        <f t="shared" si="35"/>
        <v>6724.704516</v>
      </c>
      <c r="H342" s="32"/>
      <c r="I342" s="34">
        <f t="shared" si="2"/>
        <v>49</v>
      </c>
      <c r="J342" s="32"/>
      <c r="K342" s="28"/>
      <c r="L342" s="34">
        <f t="shared" si="4"/>
        <v>42261.04645</v>
      </c>
      <c r="M342" s="28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>
      <c r="A343" s="28"/>
      <c r="B343" s="19">
        <v>41616.0</v>
      </c>
      <c r="C343" s="20">
        <v>49.0</v>
      </c>
      <c r="D343" s="26">
        <v>342.0</v>
      </c>
      <c r="E343" s="34">
        <f t="shared" si="36"/>
        <v>6724.451613</v>
      </c>
      <c r="F343" s="34">
        <f t="shared" si="34"/>
        <v>0.2333333333</v>
      </c>
      <c r="G343" s="35">
        <f t="shared" si="35"/>
        <v>6724.672903</v>
      </c>
      <c r="H343" s="32"/>
      <c r="I343" s="34">
        <f t="shared" si="2"/>
        <v>49</v>
      </c>
      <c r="J343" s="32"/>
      <c r="K343" s="28"/>
      <c r="L343" s="34">
        <f t="shared" si="4"/>
        <v>42261.04645</v>
      </c>
      <c r="M343" s="28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>
      <c r="A344" s="28"/>
      <c r="B344" s="19">
        <v>41617.0</v>
      </c>
      <c r="C344" s="20">
        <v>49.0</v>
      </c>
      <c r="D344" s="26">
        <v>343.0</v>
      </c>
      <c r="E344" s="34">
        <f t="shared" si="36"/>
        <v>6724.451613</v>
      </c>
      <c r="F344" s="34">
        <f t="shared" si="34"/>
        <v>0.2</v>
      </c>
      <c r="G344" s="35">
        <f t="shared" si="35"/>
        <v>6724.64129</v>
      </c>
      <c r="H344" s="32"/>
      <c r="I344" s="34">
        <f t="shared" si="2"/>
        <v>49</v>
      </c>
      <c r="J344" s="32"/>
      <c r="K344" s="28"/>
      <c r="L344" s="34">
        <f t="shared" si="4"/>
        <v>42261.04645</v>
      </c>
      <c r="M344" s="28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>
      <c r="A345" s="28"/>
      <c r="B345" s="19">
        <v>41618.0</v>
      </c>
      <c r="C345" s="20">
        <v>50.0</v>
      </c>
      <c r="D345" s="26">
        <v>344.0</v>
      </c>
      <c r="E345" s="34">
        <f t="shared" si="36"/>
        <v>6724.451613</v>
      </c>
      <c r="F345" s="34">
        <f t="shared" si="34"/>
        <v>0.1666666667</v>
      </c>
      <c r="G345" s="35">
        <f t="shared" si="35"/>
        <v>6724.609677</v>
      </c>
      <c r="H345" s="32"/>
      <c r="I345" s="34">
        <f t="shared" si="2"/>
        <v>50</v>
      </c>
      <c r="J345" s="35">
        <f>SUM(G345:G351)</f>
        <v>47103.72601</v>
      </c>
      <c r="K345" s="20">
        <v>47103.72601</v>
      </c>
      <c r="L345" s="34">
        <f t="shared" si="4"/>
        <v>42261.04645</v>
      </c>
      <c r="M345" s="20">
        <v>42261.04645</v>
      </c>
      <c r="N345" s="40">
        <v>12107.02359</v>
      </c>
      <c r="O345" s="40">
        <v>10773.49001</v>
      </c>
      <c r="P345" s="40">
        <v>2746.463233</v>
      </c>
      <c r="Q345" s="40">
        <v>21526.32444</v>
      </c>
      <c r="R345" s="39"/>
      <c r="S345" s="40">
        <v>11236.6611</v>
      </c>
      <c r="T345" s="40">
        <v>9779.063778</v>
      </c>
      <c r="U345" s="40">
        <v>2582.584738</v>
      </c>
      <c r="V345" s="40">
        <v>18123.59267</v>
      </c>
      <c r="W345" s="40">
        <v>870.3624976</v>
      </c>
      <c r="X345" s="40">
        <v>994.4262281</v>
      </c>
      <c r="Y345" s="40">
        <v>163.8784946</v>
      </c>
      <c r="Z345" s="40">
        <v>3402.731768</v>
      </c>
    </row>
    <row r="346">
      <c r="A346" s="28"/>
      <c r="B346" s="19">
        <v>41619.0</v>
      </c>
      <c r="C346" s="20">
        <v>50.0</v>
      </c>
      <c r="D346" s="26">
        <v>345.0</v>
      </c>
      <c r="E346" s="34">
        <f t="shared" si="36"/>
        <v>6724.451613</v>
      </c>
      <c r="F346" s="34">
        <f t="shared" si="34"/>
        <v>0.1333333333</v>
      </c>
      <c r="G346" s="35">
        <f t="shared" si="35"/>
        <v>6724.578065</v>
      </c>
      <c r="H346" s="32"/>
      <c r="I346" s="34">
        <f t="shared" si="2"/>
        <v>50</v>
      </c>
      <c r="J346" s="32"/>
      <c r="K346" s="28"/>
      <c r="L346" s="34">
        <f t="shared" si="4"/>
        <v>42261.04645</v>
      </c>
      <c r="M346" s="28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>
      <c r="A347" s="28"/>
      <c r="B347" s="19">
        <v>41620.0</v>
      </c>
      <c r="C347" s="20">
        <v>50.0</v>
      </c>
      <c r="D347" s="26">
        <v>346.0</v>
      </c>
      <c r="E347" s="34">
        <f t="shared" si="36"/>
        <v>6724.451613</v>
      </c>
      <c r="F347" s="34">
        <f t="shared" si="34"/>
        <v>0.1</v>
      </c>
      <c r="G347" s="35">
        <f t="shared" si="35"/>
        <v>6724.546452</v>
      </c>
      <c r="H347" s="32"/>
      <c r="I347" s="34">
        <f t="shared" si="2"/>
        <v>50</v>
      </c>
      <c r="J347" s="32"/>
      <c r="K347" s="28"/>
      <c r="L347" s="34">
        <f t="shared" si="4"/>
        <v>42261.04645</v>
      </c>
      <c r="M347" s="28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>
      <c r="A348" s="28"/>
      <c r="B348" s="19">
        <v>41621.0</v>
      </c>
      <c r="C348" s="20">
        <v>50.0</v>
      </c>
      <c r="D348" s="26">
        <v>347.0</v>
      </c>
      <c r="E348" s="34">
        <f t="shared" si="36"/>
        <v>6724.451613</v>
      </c>
      <c r="F348" s="34">
        <f t="shared" si="34"/>
        <v>0.06666666667</v>
      </c>
      <c r="G348" s="35">
        <f t="shared" si="35"/>
        <v>6724.514839</v>
      </c>
      <c r="H348" s="32"/>
      <c r="I348" s="34">
        <f t="shared" si="2"/>
        <v>50</v>
      </c>
      <c r="J348" s="32"/>
      <c r="K348" s="28"/>
      <c r="L348" s="34">
        <f t="shared" si="4"/>
        <v>42261.04645</v>
      </c>
      <c r="M348" s="28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>
      <c r="A349" s="28"/>
      <c r="B349" s="19">
        <v>41622.0</v>
      </c>
      <c r="C349" s="20">
        <v>50.0</v>
      </c>
      <c r="D349" s="26">
        <v>348.0</v>
      </c>
      <c r="E349" s="34">
        <f t="shared" si="36"/>
        <v>6724.451613</v>
      </c>
      <c r="F349" s="34">
        <f t="shared" si="34"/>
        <v>0.03333333333</v>
      </c>
      <c r="G349" s="35">
        <f t="shared" si="35"/>
        <v>6724.483226</v>
      </c>
      <c r="H349" s="32"/>
      <c r="I349" s="34">
        <f t="shared" si="2"/>
        <v>50</v>
      </c>
      <c r="J349" s="32"/>
      <c r="K349" s="28"/>
      <c r="L349" s="34">
        <f t="shared" si="4"/>
        <v>42261.04645</v>
      </c>
      <c r="M349" s="28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>
      <c r="A350" s="28"/>
      <c r="B350" s="19">
        <v>41623.0</v>
      </c>
      <c r="C350" s="20">
        <v>50.0</v>
      </c>
      <c r="D350" s="26">
        <v>349.0</v>
      </c>
      <c r="E350" s="34">
        <f t="shared" si="36"/>
        <v>6724.451613</v>
      </c>
      <c r="F350" s="34">
        <f t="shared" si="34"/>
        <v>0</v>
      </c>
      <c r="G350" s="35">
        <f t="shared" si="35"/>
        <v>6724.451613</v>
      </c>
      <c r="H350" s="32"/>
      <c r="I350" s="34">
        <f t="shared" si="2"/>
        <v>50</v>
      </c>
      <c r="J350" s="32"/>
      <c r="K350" s="28"/>
      <c r="L350" s="34">
        <f t="shared" si="4"/>
        <v>42261.04645</v>
      </c>
      <c r="M350" s="28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>
      <c r="A351" s="13"/>
      <c r="B351" s="19">
        <v>41624.0</v>
      </c>
      <c r="C351" s="20">
        <v>50.0</v>
      </c>
      <c r="D351" s="26">
        <v>350.0</v>
      </c>
      <c r="E351" s="34">
        <f t="shared" si="36"/>
        <v>6724.451613</v>
      </c>
      <c r="F351" s="34">
        <f t="shared" ref="F351:F381" si="37">abs((D351-380)/(380-349))</f>
        <v>0.9677419355</v>
      </c>
      <c r="G351" s="35">
        <f t="shared" ref="G351:G381" si="38">E336*F351+(1-F351)*E2</f>
        <v>6756.542144</v>
      </c>
      <c r="H351" s="32"/>
      <c r="I351" s="34">
        <f t="shared" si="2"/>
        <v>50</v>
      </c>
      <c r="J351" s="32"/>
      <c r="K351" s="28"/>
      <c r="L351" s="34">
        <f t="shared" si="4"/>
        <v>42261.04645</v>
      </c>
      <c r="M351" s="28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>
      <c r="A352" s="13"/>
      <c r="B352" s="19">
        <v>41625.0</v>
      </c>
      <c r="C352" s="20">
        <v>51.0</v>
      </c>
      <c r="D352" s="26">
        <v>351.0</v>
      </c>
      <c r="E352" s="34">
        <f t="shared" si="36"/>
        <v>6724.451613</v>
      </c>
      <c r="F352" s="34">
        <f t="shared" si="37"/>
        <v>0.935483871</v>
      </c>
      <c r="G352" s="35">
        <f t="shared" si="38"/>
        <v>6788.632674</v>
      </c>
      <c r="H352" s="32"/>
      <c r="I352" s="34">
        <f t="shared" si="2"/>
        <v>51</v>
      </c>
      <c r="J352" s="35">
        <f>SUM(G352:G358)</f>
        <v>48194.32986</v>
      </c>
      <c r="K352" s="20">
        <v>48194.32986</v>
      </c>
      <c r="L352" s="34">
        <f t="shared" si="4"/>
        <v>42261.04645</v>
      </c>
      <c r="M352" s="20">
        <v>42261.04645</v>
      </c>
      <c r="N352" s="40">
        <v>13296.93013</v>
      </c>
      <c r="O352" s="40">
        <v>11721.0057</v>
      </c>
      <c r="P352" s="40">
        <v>2862.089837</v>
      </c>
      <c r="Q352" s="40">
        <v>20921.05443</v>
      </c>
      <c r="R352" s="39"/>
      <c r="S352" s="40">
        <v>10875.85985</v>
      </c>
      <c r="T352" s="40">
        <v>9937.998666</v>
      </c>
      <c r="U352" s="40">
        <v>2464.081907</v>
      </c>
      <c r="V352" s="40">
        <v>18481.57684</v>
      </c>
      <c r="W352" s="40">
        <v>2421.070277</v>
      </c>
      <c r="X352" s="40">
        <v>1783.007029</v>
      </c>
      <c r="Y352" s="40">
        <v>398.0079294</v>
      </c>
      <c r="Z352" s="40">
        <v>2439.477595</v>
      </c>
    </row>
    <row r="353">
      <c r="A353" s="28"/>
      <c r="B353" s="19">
        <v>41626.0</v>
      </c>
      <c r="C353" s="20">
        <v>51.0</v>
      </c>
      <c r="D353" s="26">
        <v>352.0</v>
      </c>
      <c r="E353" s="34">
        <f t="shared" si="36"/>
        <v>6724.451613</v>
      </c>
      <c r="F353" s="34">
        <f t="shared" si="37"/>
        <v>0.9032258065</v>
      </c>
      <c r="G353" s="35">
        <f t="shared" si="38"/>
        <v>6820.723205</v>
      </c>
      <c r="H353" s="32"/>
      <c r="I353" s="34">
        <f t="shared" si="2"/>
        <v>51</v>
      </c>
      <c r="J353" s="32"/>
      <c r="K353" s="28"/>
      <c r="L353" s="34">
        <f t="shared" si="4"/>
        <v>42261.04645</v>
      </c>
      <c r="M353" s="28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>
      <c r="A354" s="28"/>
      <c r="B354" s="19">
        <v>41627.0</v>
      </c>
      <c r="C354" s="20">
        <v>51.0</v>
      </c>
      <c r="D354" s="26">
        <v>353.0</v>
      </c>
      <c r="E354" s="34">
        <f t="shared" si="36"/>
        <v>6724.451613</v>
      </c>
      <c r="F354" s="34">
        <f t="shared" si="37"/>
        <v>0.8709677419</v>
      </c>
      <c r="G354" s="35">
        <f t="shared" si="38"/>
        <v>6852.813736</v>
      </c>
      <c r="H354" s="32"/>
      <c r="I354" s="34">
        <f t="shared" si="2"/>
        <v>51</v>
      </c>
      <c r="J354" s="32"/>
      <c r="K354" s="28"/>
      <c r="L354" s="34">
        <f t="shared" si="4"/>
        <v>42261.04645</v>
      </c>
      <c r="M354" s="28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>
      <c r="A355" s="28"/>
      <c r="B355" s="19">
        <v>41628.0</v>
      </c>
      <c r="C355" s="20">
        <v>51.0</v>
      </c>
      <c r="D355" s="26">
        <v>354.0</v>
      </c>
      <c r="E355" s="34">
        <f t="shared" si="36"/>
        <v>6724.451613</v>
      </c>
      <c r="F355" s="34">
        <f t="shared" si="37"/>
        <v>0.8387096774</v>
      </c>
      <c r="G355" s="35">
        <f t="shared" si="38"/>
        <v>6884.904266</v>
      </c>
      <c r="H355" s="32"/>
      <c r="I355" s="34">
        <f t="shared" si="2"/>
        <v>51</v>
      </c>
      <c r="J355" s="32"/>
      <c r="K355" s="28"/>
      <c r="L355" s="34">
        <f t="shared" si="4"/>
        <v>42261.04645</v>
      </c>
      <c r="M355" s="28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>
      <c r="A356" s="28"/>
      <c r="B356" s="19">
        <v>41629.0</v>
      </c>
      <c r="C356" s="20">
        <v>51.0</v>
      </c>
      <c r="D356" s="26">
        <v>355.0</v>
      </c>
      <c r="E356" s="34">
        <f t="shared" si="36"/>
        <v>6724.451613</v>
      </c>
      <c r="F356" s="34">
        <f t="shared" si="37"/>
        <v>0.8064516129</v>
      </c>
      <c r="G356" s="35">
        <f t="shared" si="38"/>
        <v>6916.994797</v>
      </c>
      <c r="H356" s="32"/>
      <c r="I356" s="34">
        <f t="shared" si="2"/>
        <v>51</v>
      </c>
      <c r="J356" s="32"/>
      <c r="K356" s="28"/>
      <c r="L356" s="34">
        <f t="shared" si="4"/>
        <v>42261.04645</v>
      </c>
      <c r="M356" s="28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>
      <c r="A357" s="28"/>
      <c r="B357" s="19">
        <v>41630.0</v>
      </c>
      <c r="C357" s="20">
        <v>51.0</v>
      </c>
      <c r="D357" s="26">
        <v>356.0</v>
      </c>
      <c r="E357" s="34">
        <f t="shared" si="36"/>
        <v>6724.451613</v>
      </c>
      <c r="F357" s="34">
        <f t="shared" si="37"/>
        <v>0.7741935484</v>
      </c>
      <c r="G357" s="35">
        <f t="shared" si="38"/>
        <v>6949.085328</v>
      </c>
      <c r="H357" s="32"/>
      <c r="I357" s="34">
        <f t="shared" si="2"/>
        <v>51</v>
      </c>
      <c r="J357" s="32"/>
      <c r="K357" s="28"/>
      <c r="L357" s="34">
        <f t="shared" si="4"/>
        <v>42261.04645</v>
      </c>
      <c r="M357" s="28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>
      <c r="A358" s="28"/>
      <c r="B358" s="19">
        <v>41631.0</v>
      </c>
      <c r="C358" s="20">
        <v>51.0</v>
      </c>
      <c r="D358" s="26">
        <v>357.0</v>
      </c>
      <c r="E358" s="34">
        <f t="shared" si="36"/>
        <v>6724.451613</v>
      </c>
      <c r="F358" s="34">
        <f t="shared" si="37"/>
        <v>0.7419354839</v>
      </c>
      <c r="G358" s="35">
        <f t="shared" si="38"/>
        <v>6981.175858</v>
      </c>
      <c r="H358" s="32"/>
      <c r="I358" s="34">
        <f t="shared" si="2"/>
        <v>51</v>
      </c>
      <c r="J358" s="32"/>
      <c r="K358" s="28"/>
      <c r="L358" s="34">
        <f t="shared" si="4"/>
        <v>42261.04645</v>
      </c>
      <c r="M358" s="28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>
      <c r="A359" s="28"/>
      <c r="B359" s="19">
        <v>41632.0</v>
      </c>
      <c r="C359" s="20">
        <v>52.0</v>
      </c>
      <c r="D359" s="26">
        <v>358.0</v>
      </c>
      <c r="E359" s="34">
        <f t="shared" si="36"/>
        <v>6724.451613</v>
      </c>
      <c r="F359" s="34">
        <f t="shared" si="37"/>
        <v>0.7096774194</v>
      </c>
      <c r="G359" s="35">
        <f t="shared" si="38"/>
        <v>7013.266389</v>
      </c>
      <c r="H359" s="32"/>
      <c r="I359" s="34">
        <f t="shared" si="2"/>
        <v>52</v>
      </c>
      <c r="J359" s="35">
        <f>SUM(G359:G365)</f>
        <v>49766.76587</v>
      </c>
      <c r="K359" s="20">
        <v>49766.76587</v>
      </c>
      <c r="L359" s="34">
        <f t="shared" si="4"/>
        <v>42261.04645</v>
      </c>
      <c r="M359" s="20">
        <v>42261.04645</v>
      </c>
      <c r="N359" s="40">
        <v>13119.62013</v>
      </c>
      <c r="O359" s="40">
        <v>12029.53786</v>
      </c>
      <c r="P359" s="40">
        <v>2881.79993</v>
      </c>
      <c r="Q359" s="40">
        <v>21129.48309</v>
      </c>
      <c r="R359" s="39"/>
      <c r="S359" s="40">
        <v>11297.35203</v>
      </c>
      <c r="T359" s="40">
        <v>9885.040881</v>
      </c>
      <c r="U359" s="40">
        <v>2498.652212</v>
      </c>
      <c r="V359" s="40">
        <v>18084.13658</v>
      </c>
      <c r="W359" s="40">
        <v>1822.268106</v>
      </c>
      <c r="X359" s="40">
        <v>2144.496983</v>
      </c>
      <c r="Y359" s="40">
        <v>383.1477179</v>
      </c>
      <c r="Z359" s="40">
        <v>3045.346511</v>
      </c>
    </row>
    <row r="360">
      <c r="A360" s="28"/>
      <c r="B360" s="19">
        <v>41633.0</v>
      </c>
      <c r="C360" s="20">
        <v>52.0</v>
      </c>
      <c r="D360" s="26">
        <v>359.0</v>
      </c>
      <c r="E360" s="34">
        <f t="shared" si="36"/>
        <v>6724.451613</v>
      </c>
      <c r="F360" s="34">
        <f t="shared" si="37"/>
        <v>0.6774193548</v>
      </c>
      <c r="G360" s="35">
        <f t="shared" si="38"/>
        <v>7045.35692</v>
      </c>
      <c r="H360" s="32"/>
      <c r="I360" s="34">
        <f t="shared" si="2"/>
        <v>52</v>
      </c>
      <c r="J360" s="32"/>
      <c r="K360" s="28"/>
      <c r="L360" s="34">
        <f t="shared" si="4"/>
        <v>42261.04645</v>
      </c>
      <c r="M360" s="28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>
      <c r="A361" s="28"/>
      <c r="B361" s="19">
        <v>41634.0</v>
      </c>
      <c r="C361" s="20">
        <v>52.0</v>
      </c>
      <c r="D361" s="26">
        <v>360.0</v>
      </c>
      <c r="E361" s="34">
        <f t="shared" si="36"/>
        <v>6724.451613</v>
      </c>
      <c r="F361" s="34">
        <f t="shared" si="37"/>
        <v>0.6451612903</v>
      </c>
      <c r="G361" s="35">
        <f t="shared" si="38"/>
        <v>7077.447451</v>
      </c>
      <c r="H361" s="32"/>
      <c r="I361" s="34">
        <f t="shared" si="2"/>
        <v>52</v>
      </c>
      <c r="J361" s="32"/>
      <c r="K361" s="28"/>
      <c r="L361" s="34">
        <f t="shared" si="4"/>
        <v>42261.04645</v>
      </c>
      <c r="M361" s="28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>
      <c r="A362" s="28"/>
      <c r="B362" s="19">
        <v>41635.0</v>
      </c>
      <c r="C362" s="20">
        <v>52.0</v>
      </c>
      <c r="D362" s="26">
        <v>361.0</v>
      </c>
      <c r="E362" s="34">
        <f t="shared" si="36"/>
        <v>6724.451613</v>
      </c>
      <c r="F362" s="34">
        <f t="shared" si="37"/>
        <v>0.6129032258</v>
      </c>
      <c r="G362" s="35">
        <f t="shared" si="38"/>
        <v>7109.537981</v>
      </c>
      <c r="H362" s="32"/>
      <c r="I362" s="34">
        <f t="shared" si="2"/>
        <v>52</v>
      </c>
      <c r="J362" s="32"/>
      <c r="K362" s="28"/>
      <c r="L362" s="34">
        <f t="shared" si="4"/>
        <v>42261.04645</v>
      </c>
      <c r="M362" s="28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>
      <c r="A363" s="28"/>
      <c r="B363" s="19">
        <v>41636.0</v>
      </c>
      <c r="C363" s="20">
        <v>52.0</v>
      </c>
      <c r="D363" s="26">
        <v>362.0</v>
      </c>
      <c r="E363" s="34">
        <f t="shared" si="36"/>
        <v>6724.451613</v>
      </c>
      <c r="F363" s="34">
        <f t="shared" si="37"/>
        <v>0.5806451613</v>
      </c>
      <c r="G363" s="35">
        <f t="shared" si="38"/>
        <v>7141.628512</v>
      </c>
      <c r="H363" s="32"/>
      <c r="I363" s="34">
        <f t="shared" si="2"/>
        <v>52</v>
      </c>
      <c r="J363" s="32"/>
      <c r="K363" s="28"/>
      <c r="L363" s="34">
        <f t="shared" si="4"/>
        <v>42261.04645</v>
      </c>
      <c r="M363" s="28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>
      <c r="A364" s="28"/>
      <c r="B364" s="19">
        <v>41637.0</v>
      </c>
      <c r="C364" s="20">
        <v>52.0</v>
      </c>
      <c r="D364" s="26">
        <v>363.0</v>
      </c>
      <c r="E364" s="34">
        <f t="shared" si="36"/>
        <v>6724.451613</v>
      </c>
      <c r="F364" s="34">
        <f t="shared" si="37"/>
        <v>0.5483870968</v>
      </c>
      <c r="G364" s="35">
        <f t="shared" si="38"/>
        <v>7173.719043</v>
      </c>
      <c r="H364" s="32"/>
      <c r="I364" s="34">
        <f t="shared" si="2"/>
        <v>52</v>
      </c>
      <c r="J364" s="32"/>
      <c r="K364" s="28"/>
      <c r="L364" s="34">
        <f t="shared" si="4"/>
        <v>42261.04645</v>
      </c>
      <c r="M364" s="28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>
      <c r="A365" s="28"/>
      <c r="B365" s="19">
        <v>41638.0</v>
      </c>
      <c r="C365" s="20">
        <v>52.0</v>
      </c>
      <c r="D365" s="26">
        <v>364.0</v>
      </c>
      <c r="E365" s="34">
        <f t="shared" si="36"/>
        <v>6724.451613</v>
      </c>
      <c r="F365" s="34">
        <f t="shared" si="37"/>
        <v>0.5161290323</v>
      </c>
      <c r="G365" s="35">
        <f t="shared" si="38"/>
        <v>7205.809573</v>
      </c>
      <c r="H365" s="32"/>
      <c r="I365" s="34">
        <f t="shared" si="2"/>
        <v>52</v>
      </c>
      <c r="J365" s="32"/>
      <c r="K365" s="28"/>
      <c r="L365" s="34">
        <f t="shared" si="4"/>
        <v>42261.04645</v>
      </c>
      <c r="M365" s="28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>
      <c r="A366" s="28"/>
      <c r="B366" s="19">
        <v>41639.0</v>
      </c>
      <c r="C366" s="20">
        <v>53.0</v>
      </c>
      <c r="D366" s="26">
        <v>365.0</v>
      </c>
      <c r="E366" s="34">
        <f t="shared" si="36"/>
        <v>6724.451613</v>
      </c>
      <c r="F366" s="34">
        <f t="shared" si="37"/>
        <v>0.4838709677</v>
      </c>
      <c r="G366" s="35">
        <f t="shared" si="38"/>
        <v>7237.900104</v>
      </c>
      <c r="H366" s="32"/>
      <c r="I366" s="32"/>
      <c r="J366" s="32"/>
      <c r="K366" s="28"/>
      <c r="L366" s="32"/>
      <c r="M366" s="28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>
      <c r="A367" s="28"/>
      <c r="B367" s="28"/>
      <c r="C367" s="28"/>
      <c r="D367" s="26">
        <v>366.0</v>
      </c>
      <c r="E367" s="41"/>
      <c r="F367" s="34">
        <f t="shared" si="37"/>
        <v>0.4516129032</v>
      </c>
      <c r="G367" s="35">
        <f t="shared" si="38"/>
        <v>7269.990635</v>
      </c>
      <c r="H367" s="32"/>
      <c r="I367" s="32"/>
      <c r="J367" s="32"/>
      <c r="K367" s="28"/>
      <c r="L367" s="32"/>
      <c r="M367" s="28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>
      <c r="A368" s="28"/>
      <c r="B368" s="28"/>
      <c r="C368" s="28"/>
      <c r="D368" s="26">
        <v>367.0</v>
      </c>
      <c r="E368" s="32"/>
      <c r="F368" s="34">
        <f t="shared" si="37"/>
        <v>0.4193548387</v>
      </c>
      <c r="G368" s="35">
        <f t="shared" si="38"/>
        <v>7302.081165</v>
      </c>
      <c r="H368" s="32"/>
      <c r="I368" s="32"/>
      <c r="J368" s="32"/>
      <c r="K368" s="28"/>
      <c r="L368" s="32"/>
      <c r="M368" s="28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>
      <c r="A369" s="28"/>
      <c r="B369" s="28"/>
      <c r="C369" s="28"/>
      <c r="D369" s="26">
        <v>368.0</v>
      </c>
      <c r="E369" s="32"/>
      <c r="F369" s="34">
        <f t="shared" si="37"/>
        <v>0.3870967742</v>
      </c>
      <c r="G369" s="35">
        <f t="shared" si="38"/>
        <v>7334.171696</v>
      </c>
      <c r="H369" s="32"/>
      <c r="I369" s="32"/>
      <c r="J369" s="32"/>
      <c r="K369" s="28"/>
      <c r="L369" s="32"/>
      <c r="M369" s="28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>
      <c r="A370" s="28"/>
      <c r="B370" s="28"/>
      <c r="C370" s="28"/>
      <c r="D370" s="26">
        <v>369.0</v>
      </c>
      <c r="E370" s="32"/>
      <c r="F370" s="34">
        <f t="shared" si="37"/>
        <v>0.3548387097</v>
      </c>
      <c r="G370" s="35">
        <f t="shared" si="38"/>
        <v>7366.262227</v>
      </c>
      <c r="H370" s="32"/>
      <c r="I370" s="32"/>
      <c r="J370" s="32"/>
      <c r="K370" s="28"/>
      <c r="L370" s="32"/>
      <c r="M370" s="28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>
      <c r="A371" s="28"/>
      <c r="B371" s="28"/>
      <c r="C371" s="28"/>
      <c r="D371" s="26">
        <v>370.0</v>
      </c>
      <c r="E371" s="32"/>
      <c r="F371" s="34">
        <f t="shared" si="37"/>
        <v>0.3225806452</v>
      </c>
      <c r="G371" s="35">
        <f t="shared" si="38"/>
        <v>7398.352758</v>
      </c>
      <c r="H371" s="32"/>
      <c r="I371" s="32"/>
      <c r="J371" s="32"/>
      <c r="K371" s="28"/>
      <c r="L371" s="32"/>
      <c r="M371" s="28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>
      <c r="A372" s="28"/>
      <c r="B372" s="28"/>
      <c r="C372" s="28"/>
      <c r="D372" s="26">
        <v>371.0</v>
      </c>
      <c r="E372" s="32"/>
      <c r="F372" s="34">
        <f t="shared" si="37"/>
        <v>0.2903225806</v>
      </c>
      <c r="G372" s="35">
        <f t="shared" si="38"/>
        <v>7430.443288</v>
      </c>
      <c r="H372" s="32"/>
      <c r="I372" s="32"/>
      <c r="J372" s="32"/>
      <c r="K372" s="28"/>
      <c r="L372" s="32"/>
      <c r="M372" s="28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>
      <c r="A373" s="28"/>
      <c r="B373" s="28"/>
      <c r="C373" s="28"/>
      <c r="D373" s="26">
        <v>372.0</v>
      </c>
      <c r="E373" s="32"/>
      <c r="F373" s="34">
        <f t="shared" si="37"/>
        <v>0.2580645161</v>
      </c>
      <c r="G373" s="35">
        <f t="shared" si="38"/>
        <v>7462.533819</v>
      </c>
      <c r="H373" s="32"/>
      <c r="I373" s="32"/>
      <c r="J373" s="32"/>
      <c r="K373" s="28"/>
      <c r="L373" s="32"/>
      <c r="M373" s="28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>
      <c r="A374" s="28"/>
      <c r="B374" s="28"/>
      <c r="C374" s="28"/>
      <c r="D374" s="26">
        <v>373.0</v>
      </c>
      <c r="E374" s="32"/>
      <c r="F374" s="34">
        <f t="shared" si="37"/>
        <v>0.2258064516</v>
      </c>
      <c r="G374" s="35">
        <f t="shared" si="38"/>
        <v>7494.62435</v>
      </c>
      <c r="H374" s="32"/>
      <c r="I374" s="32"/>
      <c r="J374" s="32"/>
      <c r="K374" s="28"/>
      <c r="L374" s="32"/>
      <c r="M374" s="28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>
      <c r="A375" s="28"/>
      <c r="B375" s="28"/>
      <c r="C375" s="28"/>
      <c r="D375" s="26">
        <v>374.0</v>
      </c>
      <c r="E375" s="32"/>
      <c r="F375" s="34">
        <f t="shared" si="37"/>
        <v>0.1935483871</v>
      </c>
      <c r="G375" s="35">
        <f t="shared" si="38"/>
        <v>7526.71488</v>
      </c>
      <c r="H375" s="32"/>
      <c r="I375" s="32"/>
      <c r="J375" s="32"/>
      <c r="K375" s="28"/>
      <c r="L375" s="32"/>
      <c r="M375" s="28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>
      <c r="A376" s="28"/>
      <c r="B376" s="28"/>
      <c r="C376" s="28"/>
      <c r="D376" s="26">
        <v>375.0</v>
      </c>
      <c r="E376" s="32"/>
      <c r="F376" s="34">
        <f t="shared" si="37"/>
        <v>0.1612903226</v>
      </c>
      <c r="G376" s="35">
        <f t="shared" si="38"/>
        <v>7558.805411</v>
      </c>
      <c r="H376" s="32"/>
      <c r="I376" s="32"/>
      <c r="J376" s="32"/>
      <c r="K376" s="28"/>
      <c r="L376" s="32"/>
      <c r="M376" s="28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>
      <c r="A377" s="28"/>
      <c r="B377" s="28"/>
      <c r="C377" s="28"/>
      <c r="D377" s="26">
        <v>376.0</v>
      </c>
      <c r="E377" s="32"/>
      <c r="F377" s="34">
        <f t="shared" si="37"/>
        <v>0.1290322581</v>
      </c>
      <c r="G377" s="35">
        <f t="shared" si="38"/>
        <v>7590.895942</v>
      </c>
      <c r="H377" s="32"/>
      <c r="I377" s="32"/>
      <c r="J377" s="32"/>
      <c r="K377" s="28"/>
      <c r="L377" s="32"/>
      <c r="M377" s="28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>
      <c r="A378" s="28"/>
      <c r="B378" s="28"/>
      <c r="C378" s="28"/>
      <c r="D378" s="26">
        <v>377.0</v>
      </c>
      <c r="E378" s="32"/>
      <c r="F378" s="34">
        <f t="shared" si="37"/>
        <v>0.09677419355</v>
      </c>
      <c r="G378" s="35">
        <f t="shared" si="38"/>
        <v>7622.986472</v>
      </c>
      <c r="H378" s="32"/>
      <c r="I378" s="32"/>
      <c r="J378" s="32"/>
      <c r="K378" s="28"/>
      <c r="L378" s="32"/>
      <c r="M378" s="28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>
      <c r="A379" s="28"/>
      <c r="B379" s="28"/>
      <c r="C379" s="28"/>
      <c r="D379" s="26">
        <v>378.0</v>
      </c>
      <c r="E379" s="32"/>
      <c r="F379" s="34">
        <f t="shared" si="37"/>
        <v>0.06451612903</v>
      </c>
      <c r="G379" s="35">
        <f t="shared" si="38"/>
        <v>7655.077003</v>
      </c>
      <c r="H379" s="32"/>
      <c r="I379" s="32"/>
      <c r="J379" s="32"/>
      <c r="K379" s="28"/>
      <c r="L379" s="32"/>
      <c r="M379" s="28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>
      <c r="A380" s="28"/>
      <c r="B380" s="28"/>
      <c r="C380" s="28"/>
      <c r="D380" s="26">
        <v>379.0</v>
      </c>
      <c r="E380" s="32"/>
      <c r="F380" s="34">
        <f t="shared" si="37"/>
        <v>0.03225806452</v>
      </c>
      <c r="G380" s="35">
        <f t="shared" si="38"/>
        <v>7687.167534</v>
      </c>
      <c r="H380" s="32"/>
      <c r="I380" s="32"/>
      <c r="J380" s="32"/>
      <c r="K380" s="28"/>
      <c r="L380" s="32"/>
      <c r="M380" s="28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>
      <c r="A381" s="28"/>
      <c r="B381" s="28"/>
      <c r="C381" s="28"/>
      <c r="D381" s="26">
        <v>380.0</v>
      </c>
      <c r="E381" s="32"/>
      <c r="F381" s="34">
        <f t="shared" si="37"/>
        <v>0</v>
      </c>
      <c r="G381" s="35">
        <f t="shared" si="38"/>
        <v>7719.258065</v>
      </c>
      <c r="H381" s="32"/>
      <c r="I381" s="32"/>
      <c r="J381" s="32"/>
      <c r="K381" s="28"/>
      <c r="L381" s="32"/>
      <c r="M381" s="28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>
      <c r="A382" s="28"/>
      <c r="B382" s="28"/>
      <c r="C382" s="28"/>
      <c r="D382" s="31" t="s">
        <v>77</v>
      </c>
      <c r="E382" s="32"/>
      <c r="F382" s="32"/>
      <c r="G382" s="33"/>
      <c r="H382" s="32"/>
      <c r="I382" s="32"/>
      <c r="J382" s="32"/>
      <c r="K382" s="28"/>
      <c r="L382" s="32"/>
      <c r="M382" s="28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>
      <c r="A383" s="28"/>
      <c r="B383" s="28"/>
      <c r="C383" s="28"/>
      <c r="D383" s="42"/>
      <c r="E383" s="32"/>
      <c r="F383" s="32"/>
      <c r="G383" s="33"/>
      <c r="H383" s="32"/>
      <c r="I383" s="32"/>
      <c r="J383" s="32"/>
      <c r="K383" s="28"/>
      <c r="L383" s="32"/>
      <c r="M383" s="28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>
      <c r="A384" s="28"/>
      <c r="B384" s="28"/>
      <c r="C384" s="28"/>
      <c r="D384" s="42"/>
      <c r="E384" s="32"/>
      <c r="F384" s="32"/>
      <c r="G384" s="33"/>
      <c r="H384" s="32"/>
      <c r="I384" s="32"/>
      <c r="J384" s="32"/>
      <c r="K384" s="28"/>
      <c r="L384" s="32"/>
      <c r="M384" s="28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>
      <c r="A385" s="28"/>
      <c r="B385" s="28"/>
      <c r="C385" s="28"/>
      <c r="D385" s="42"/>
      <c r="E385" s="32"/>
      <c r="F385" s="32"/>
      <c r="G385" s="33"/>
      <c r="H385" s="32"/>
      <c r="I385" s="32"/>
      <c r="J385" s="32"/>
      <c r="K385" s="28"/>
      <c r="L385" s="32"/>
      <c r="M385" s="28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>
      <c r="A386" s="28"/>
      <c r="B386" s="28"/>
      <c r="C386" s="28"/>
      <c r="D386" s="28"/>
      <c r="E386" s="32"/>
      <c r="F386" s="32"/>
      <c r="G386" s="33"/>
      <c r="H386" s="32"/>
      <c r="I386" s="32"/>
      <c r="J386" s="32"/>
      <c r="K386" s="28"/>
      <c r="L386" s="32"/>
      <c r="M386" s="28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>
      <c r="A387" s="28"/>
      <c r="B387" s="28"/>
      <c r="C387" s="28"/>
      <c r="D387" s="28"/>
      <c r="E387" s="32"/>
      <c r="F387" s="32"/>
      <c r="G387" s="33"/>
      <c r="H387" s="32"/>
      <c r="I387" s="32"/>
      <c r="J387" s="32"/>
      <c r="K387" s="28"/>
      <c r="L387" s="32"/>
      <c r="M387" s="28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>
      <c r="A388" s="28"/>
      <c r="B388" s="28"/>
      <c r="C388" s="28"/>
      <c r="D388" s="28"/>
      <c r="E388" s="32"/>
      <c r="F388" s="32"/>
      <c r="G388" s="33"/>
      <c r="H388" s="32"/>
      <c r="I388" s="32"/>
      <c r="J388" s="32"/>
      <c r="K388" s="28"/>
      <c r="L388" s="32"/>
      <c r="M388" s="28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>
      <c r="A389" s="28"/>
      <c r="B389" s="28"/>
      <c r="C389" s="28"/>
      <c r="D389" s="28"/>
      <c r="E389" s="32"/>
      <c r="F389" s="32"/>
      <c r="G389" s="33"/>
      <c r="H389" s="32"/>
      <c r="I389" s="32"/>
      <c r="J389" s="32"/>
      <c r="K389" s="28"/>
      <c r="L389" s="32"/>
      <c r="M389" s="28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>
      <c r="A390" s="28"/>
      <c r="B390" s="28"/>
      <c r="C390" s="28"/>
      <c r="D390" s="28"/>
      <c r="E390" s="32"/>
      <c r="F390" s="32"/>
      <c r="G390" s="33"/>
      <c r="H390" s="32"/>
      <c r="I390" s="32"/>
      <c r="J390" s="32"/>
      <c r="K390" s="28"/>
      <c r="L390" s="32"/>
      <c r="M390" s="28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>
      <c r="A391" s="28"/>
      <c r="B391" s="28"/>
      <c r="C391" s="28"/>
      <c r="D391" s="28"/>
      <c r="E391" s="32"/>
      <c r="F391" s="32"/>
      <c r="G391" s="33"/>
      <c r="H391" s="32"/>
      <c r="I391" s="32"/>
      <c r="J391" s="32"/>
      <c r="K391" s="28"/>
      <c r="L391" s="32"/>
      <c r="M391" s="28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>
      <c r="A392" s="28"/>
      <c r="B392" s="28"/>
      <c r="C392" s="28"/>
      <c r="D392" s="28"/>
      <c r="E392" s="32"/>
      <c r="F392" s="32"/>
      <c r="G392" s="33"/>
      <c r="H392" s="32"/>
      <c r="I392" s="32"/>
      <c r="J392" s="32"/>
      <c r="K392" s="28"/>
      <c r="L392" s="32"/>
      <c r="M392" s="28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>
      <c r="A393" s="28"/>
      <c r="B393" s="28"/>
      <c r="C393" s="28"/>
      <c r="D393" s="28"/>
      <c r="E393" s="32"/>
      <c r="F393" s="32"/>
      <c r="G393" s="33"/>
      <c r="H393" s="32"/>
      <c r="I393" s="32"/>
      <c r="J393" s="32"/>
      <c r="K393" s="28"/>
      <c r="L393" s="32"/>
      <c r="M393" s="28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>
      <c r="A394" s="28"/>
      <c r="B394" s="28"/>
      <c r="C394" s="28"/>
      <c r="D394" s="28"/>
      <c r="E394" s="32"/>
      <c r="F394" s="32"/>
      <c r="G394" s="33"/>
      <c r="H394" s="32"/>
      <c r="I394" s="32"/>
      <c r="J394" s="32"/>
      <c r="K394" s="28"/>
      <c r="L394" s="32"/>
      <c r="M394" s="28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>
      <c r="A395" s="28"/>
      <c r="B395" s="28"/>
      <c r="C395" s="28"/>
      <c r="D395" s="28"/>
      <c r="E395" s="32"/>
      <c r="F395" s="32"/>
      <c r="G395" s="33"/>
      <c r="H395" s="32"/>
      <c r="I395" s="32"/>
      <c r="J395" s="32"/>
      <c r="K395" s="28"/>
      <c r="L395" s="32"/>
      <c r="M395" s="28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>
      <c r="A396" s="28"/>
      <c r="B396" s="28"/>
      <c r="C396" s="28"/>
      <c r="D396" s="28"/>
      <c r="E396" s="32"/>
      <c r="F396" s="32"/>
      <c r="G396" s="33"/>
      <c r="H396" s="32"/>
      <c r="I396" s="32"/>
      <c r="J396" s="32"/>
      <c r="K396" s="28"/>
      <c r="L396" s="32"/>
      <c r="M396" s="28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>
      <c r="A397" s="28"/>
      <c r="B397" s="28"/>
      <c r="C397" s="28"/>
      <c r="D397" s="28"/>
      <c r="E397" s="32"/>
      <c r="F397" s="32"/>
      <c r="G397" s="33"/>
      <c r="H397" s="32"/>
      <c r="I397" s="32"/>
      <c r="J397" s="32"/>
      <c r="K397" s="28"/>
      <c r="L397" s="32"/>
      <c r="M397" s="28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>
      <c r="A398" s="28"/>
      <c r="B398" s="28"/>
      <c r="C398" s="28"/>
      <c r="D398" s="28"/>
      <c r="E398" s="32"/>
      <c r="F398" s="32"/>
      <c r="G398" s="33"/>
      <c r="H398" s="32"/>
      <c r="I398" s="32"/>
      <c r="J398" s="32"/>
      <c r="K398" s="28"/>
      <c r="L398" s="32"/>
      <c r="M398" s="28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>
      <c r="A399" s="28"/>
      <c r="B399" s="28"/>
      <c r="C399" s="28"/>
      <c r="D399" s="28"/>
      <c r="E399" s="32"/>
      <c r="F399" s="32"/>
      <c r="G399" s="33"/>
      <c r="H399" s="32"/>
      <c r="I399" s="32"/>
      <c r="J399" s="32"/>
      <c r="K399" s="28"/>
      <c r="L399" s="32"/>
      <c r="M399" s="28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>
      <c r="A400" s="28"/>
      <c r="B400" s="28"/>
      <c r="C400" s="28"/>
      <c r="D400" s="28"/>
      <c r="E400" s="32"/>
      <c r="F400" s="32"/>
      <c r="G400" s="33"/>
      <c r="H400" s="32"/>
      <c r="I400" s="32"/>
      <c r="J400" s="32"/>
      <c r="K400" s="28"/>
      <c r="L400" s="32"/>
      <c r="M400" s="28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>
      <c r="A401" s="28"/>
      <c r="B401" s="28"/>
      <c r="C401" s="28"/>
      <c r="D401" s="28"/>
      <c r="E401" s="32"/>
      <c r="F401" s="32"/>
      <c r="G401" s="33"/>
      <c r="H401" s="32"/>
      <c r="I401" s="32"/>
      <c r="J401" s="32"/>
      <c r="K401" s="28"/>
      <c r="L401" s="32"/>
      <c r="M401" s="28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>
      <c r="A402" s="28"/>
      <c r="B402" s="28"/>
      <c r="C402" s="28"/>
      <c r="D402" s="28"/>
      <c r="E402" s="32"/>
      <c r="F402" s="32"/>
      <c r="G402" s="33"/>
      <c r="H402" s="32"/>
      <c r="I402" s="32"/>
      <c r="J402" s="32"/>
      <c r="K402" s="28"/>
      <c r="L402" s="32"/>
      <c r="M402" s="28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>
      <c r="A403" s="28"/>
      <c r="B403" s="28"/>
      <c r="C403" s="28"/>
      <c r="D403" s="28"/>
      <c r="E403" s="32"/>
      <c r="F403" s="32"/>
      <c r="G403" s="33"/>
      <c r="H403" s="32"/>
      <c r="I403" s="32"/>
      <c r="J403" s="32"/>
      <c r="K403" s="28"/>
      <c r="L403" s="32"/>
      <c r="M403" s="28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>
      <c r="A404" s="28"/>
      <c r="B404" s="28"/>
      <c r="C404" s="28"/>
      <c r="D404" s="28"/>
      <c r="E404" s="32"/>
      <c r="F404" s="32"/>
      <c r="G404" s="33"/>
      <c r="H404" s="32"/>
      <c r="I404" s="32"/>
      <c r="J404" s="32"/>
      <c r="K404" s="28"/>
      <c r="L404" s="32"/>
      <c r="M404" s="28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>
      <c r="A405" s="28"/>
      <c r="B405" s="28"/>
      <c r="C405" s="28"/>
      <c r="D405" s="28"/>
      <c r="E405" s="32"/>
      <c r="F405" s="32"/>
      <c r="G405" s="33"/>
      <c r="H405" s="32"/>
      <c r="I405" s="32"/>
      <c r="J405" s="32"/>
      <c r="K405" s="28"/>
      <c r="L405" s="32"/>
      <c r="M405" s="28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>
      <c r="A406" s="28"/>
      <c r="B406" s="28"/>
      <c r="C406" s="28"/>
      <c r="D406" s="28"/>
      <c r="E406" s="32"/>
      <c r="F406" s="32"/>
      <c r="G406" s="33"/>
      <c r="H406" s="32"/>
      <c r="I406" s="32"/>
      <c r="J406" s="32"/>
      <c r="K406" s="28"/>
      <c r="L406" s="32"/>
      <c r="M406" s="28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>
      <c r="A407" s="28"/>
      <c r="B407" s="28"/>
      <c r="C407" s="28"/>
      <c r="D407" s="28"/>
      <c r="E407" s="32"/>
      <c r="F407" s="32"/>
      <c r="G407" s="33"/>
      <c r="H407" s="32"/>
      <c r="I407" s="32"/>
      <c r="J407" s="32"/>
      <c r="K407" s="28"/>
      <c r="L407" s="32"/>
      <c r="M407" s="28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>
      <c r="A408" s="28"/>
      <c r="B408" s="28"/>
      <c r="C408" s="28"/>
      <c r="D408" s="28"/>
      <c r="E408" s="32"/>
      <c r="F408" s="32"/>
      <c r="G408" s="33"/>
      <c r="H408" s="32"/>
      <c r="I408" s="32"/>
      <c r="J408" s="32"/>
      <c r="K408" s="28"/>
      <c r="L408" s="32"/>
      <c r="M408" s="28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>
      <c r="A409" s="28"/>
      <c r="B409" s="28"/>
      <c r="C409" s="28"/>
      <c r="D409" s="28"/>
      <c r="E409" s="32"/>
      <c r="F409" s="32"/>
      <c r="G409" s="33"/>
      <c r="H409" s="32"/>
      <c r="I409" s="32"/>
      <c r="J409" s="32"/>
      <c r="K409" s="28"/>
      <c r="L409" s="32"/>
      <c r="M409" s="28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>
      <c r="A410" s="28"/>
      <c r="B410" s="28"/>
      <c r="C410" s="28"/>
      <c r="D410" s="28"/>
      <c r="E410" s="32"/>
      <c r="F410" s="32"/>
      <c r="G410" s="33"/>
      <c r="H410" s="32"/>
      <c r="I410" s="32"/>
      <c r="J410" s="32"/>
      <c r="K410" s="28"/>
      <c r="L410" s="32"/>
      <c r="M410" s="28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>
      <c r="A411" s="28"/>
      <c r="B411" s="28"/>
      <c r="C411" s="28"/>
      <c r="D411" s="28"/>
      <c r="E411" s="32"/>
      <c r="F411" s="32"/>
      <c r="G411" s="33"/>
      <c r="H411" s="32"/>
      <c r="I411" s="32"/>
      <c r="J411" s="32"/>
      <c r="K411" s="28"/>
      <c r="L411" s="32"/>
      <c r="M411" s="28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>
      <c r="A412" s="28"/>
      <c r="B412" s="28"/>
      <c r="C412" s="28"/>
      <c r="D412" s="28"/>
      <c r="E412" s="32"/>
      <c r="F412" s="32"/>
      <c r="G412" s="33"/>
      <c r="H412" s="32"/>
      <c r="I412" s="32"/>
      <c r="J412" s="32"/>
      <c r="K412" s="28"/>
      <c r="L412" s="32"/>
      <c r="M412" s="28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>
      <c r="A413" s="28"/>
      <c r="B413" s="28"/>
      <c r="C413" s="28"/>
      <c r="D413" s="28"/>
      <c r="E413" s="32"/>
      <c r="F413" s="32"/>
      <c r="G413" s="33"/>
      <c r="H413" s="32"/>
      <c r="I413" s="32"/>
      <c r="J413" s="32"/>
      <c r="K413" s="28"/>
      <c r="L413" s="32"/>
      <c r="M413" s="28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>
      <c r="A414" s="28"/>
      <c r="B414" s="28"/>
      <c r="C414" s="28"/>
      <c r="D414" s="28"/>
      <c r="E414" s="32"/>
      <c r="F414" s="32"/>
      <c r="G414" s="33"/>
      <c r="H414" s="32"/>
      <c r="I414" s="32"/>
      <c r="J414" s="32"/>
      <c r="K414" s="28"/>
      <c r="L414" s="32"/>
      <c r="M414" s="28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>
      <c r="A415" s="28"/>
      <c r="B415" s="28"/>
      <c r="C415" s="28"/>
      <c r="D415" s="28"/>
      <c r="E415" s="32"/>
      <c r="F415" s="32"/>
      <c r="G415" s="33"/>
      <c r="H415" s="32"/>
      <c r="I415" s="32"/>
      <c r="J415" s="32"/>
      <c r="K415" s="28"/>
      <c r="L415" s="32"/>
      <c r="M415" s="28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>
      <c r="A416" s="28"/>
      <c r="B416" s="28"/>
      <c r="C416" s="28"/>
      <c r="D416" s="28"/>
      <c r="E416" s="32"/>
      <c r="F416" s="32"/>
      <c r="G416" s="33"/>
      <c r="H416" s="32"/>
      <c r="I416" s="32"/>
      <c r="J416" s="32"/>
      <c r="K416" s="28"/>
      <c r="L416" s="32"/>
      <c r="M416" s="28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>
      <c r="A417" s="28"/>
      <c r="B417" s="28"/>
      <c r="C417" s="28"/>
      <c r="D417" s="28"/>
      <c r="E417" s="32"/>
      <c r="F417" s="32"/>
      <c r="G417" s="33"/>
      <c r="H417" s="32"/>
      <c r="I417" s="32"/>
      <c r="J417" s="32"/>
      <c r="K417" s="28"/>
      <c r="L417" s="32"/>
      <c r="M417" s="28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>
      <c r="A418" s="28"/>
      <c r="B418" s="28"/>
      <c r="C418" s="28"/>
      <c r="D418" s="28"/>
      <c r="E418" s="32"/>
      <c r="F418" s="32"/>
      <c r="G418" s="33"/>
      <c r="H418" s="32"/>
      <c r="I418" s="32"/>
      <c r="J418" s="32"/>
      <c r="K418" s="28"/>
      <c r="L418" s="32"/>
      <c r="M418" s="28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>
      <c r="A419" s="28"/>
      <c r="B419" s="28"/>
      <c r="C419" s="28"/>
      <c r="D419" s="28"/>
      <c r="E419" s="32"/>
      <c r="F419" s="32"/>
      <c r="G419" s="33"/>
      <c r="H419" s="32"/>
      <c r="I419" s="32"/>
      <c r="J419" s="32"/>
      <c r="K419" s="28"/>
      <c r="L419" s="32"/>
      <c r="M419" s="28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>
      <c r="A420" s="28"/>
      <c r="B420" s="28"/>
      <c r="C420" s="28"/>
      <c r="D420" s="28"/>
      <c r="E420" s="32"/>
      <c r="F420" s="32"/>
      <c r="G420" s="33"/>
      <c r="H420" s="32"/>
      <c r="I420" s="32"/>
      <c r="J420" s="32"/>
      <c r="K420" s="28"/>
      <c r="L420" s="32"/>
      <c r="M420" s="28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>
      <c r="A421" s="28"/>
      <c r="B421" s="28"/>
      <c r="C421" s="28"/>
      <c r="D421" s="28"/>
      <c r="E421" s="32"/>
      <c r="F421" s="32"/>
      <c r="G421" s="33"/>
      <c r="H421" s="32"/>
      <c r="I421" s="32"/>
      <c r="J421" s="32"/>
      <c r="K421" s="28"/>
      <c r="L421" s="32"/>
      <c r="M421" s="28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>
      <c r="A422" s="28"/>
      <c r="B422" s="28"/>
      <c r="C422" s="28"/>
      <c r="D422" s="28"/>
      <c r="E422" s="32"/>
      <c r="F422" s="32"/>
      <c r="G422" s="33"/>
      <c r="H422" s="32"/>
      <c r="I422" s="32"/>
      <c r="J422" s="32"/>
      <c r="K422" s="28"/>
      <c r="L422" s="32"/>
      <c r="M422" s="28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>
      <c r="A423" s="28"/>
      <c r="B423" s="28"/>
      <c r="C423" s="28"/>
      <c r="D423" s="28"/>
      <c r="E423" s="32"/>
      <c r="F423" s="32"/>
      <c r="G423" s="33"/>
      <c r="H423" s="32"/>
      <c r="I423" s="32"/>
      <c r="J423" s="32"/>
      <c r="K423" s="28"/>
      <c r="L423" s="32"/>
      <c r="M423" s="28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>
      <c r="A424" s="28"/>
      <c r="B424" s="28"/>
      <c r="C424" s="28"/>
      <c r="D424" s="28"/>
      <c r="E424" s="32"/>
      <c r="F424" s="32"/>
      <c r="G424" s="33"/>
      <c r="H424" s="32"/>
      <c r="I424" s="32"/>
      <c r="J424" s="32"/>
      <c r="K424" s="28"/>
      <c r="L424" s="32"/>
      <c r="M424" s="28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>
      <c r="A425" s="28"/>
      <c r="B425" s="28"/>
      <c r="C425" s="28"/>
      <c r="D425" s="28"/>
      <c r="E425" s="32"/>
      <c r="F425" s="32"/>
      <c r="G425" s="33"/>
      <c r="H425" s="32"/>
      <c r="I425" s="32"/>
      <c r="J425" s="32"/>
      <c r="K425" s="28"/>
      <c r="L425" s="32"/>
      <c r="M425" s="28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>
      <c r="A426" s="28"/>
      <c r="B426" s="28"/>
      <c r="C426" s="28"/>
      <c r="D426" s="28"/>
      <c r="E426" s="32"/>
      <c r="F426" s="32"/>
      <c r="G426" s="33"/>
      <c r="H426" s="32"/>
      <c r="I426" s="32"/>
      <c r="J426" s="32"/>
      <c r="K426" s="28"/>
      <c r="L426" s="32"/>
      <c r="M426" s="28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>
      <c r="A427" s="28"/>
      <c r="B427" s="28"/>
      <c r="C427" s="28"/>
      <c r="D427" s="28"/>
      <c r="E427" s="32"/>
      <c r="F427" s="32"/>
      <c r="G427" s="33"/>
      <c r="H427" s="32"/>
      <c r="I427" s="32"/>
      <c r="J427" s="32"/>
      <c r="K427" s="28"/>
      <c r="L427" s="32"/>
      <c r="M427" s="28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>
      <c r="A428" s="28"/>
      <c r="B428" s="28"/>
      <c r="C428" s="28"/>
      <c r="D428" s="28"/>
      <c r="E428" s="32"/>
      <c r="F428" s="32"/>
      <c r="G428" s="33"/>
      <c r="H428" s="32"/>
      <c r="I428" s="32"/>
      <c r="J428" s="32"/>
      <c r="K428" s="28"/>
      <c r="L428" s="32"/>
      <c r="M428" s="28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>
      <c r="A429" s="28"/>
      <c r="B429" s="28"/>
      <c r="C429" s="28"/>
      <c r="D429" s="28"/>
      <c r="E429" s="32"/>
      <c r="F429" s="32"/>
      <c r="G429" s="33"/>
      <c r="H429" s="32"/>
      <c r="I429" s="32"/>
      <c r="J429" s="32"/>
      <c r="K429" s="28"/>
      <c r="L429" s="32"/>
      <c r="M429" s="28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>
      <c r="A430" s="28"/>
      <c r="B430" s="28"/>
      <c r="C430" s="28"/>
      <c r="D430" s="28"/>
      <c r="E430" s="32"/>
      <c r="F430" s="32"/>
      <c r="G430" s="33"/>
      <c r="H430" s="32"/>
      <c r="I430" s="32"/>
      <c r="J430" s="32"/>
      <c r="K430" s="28"/>
      <c r="L430" s="32"/>
      <c r="M430" s="28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>
      <c r="A431" s="28"/>
      <c r="B431" s="28"/>
      <c r="C431" s="28"/>
      <c r="D431" s="28"/>
      <c r="E431" s="32"/>
      <c r="F431" s="32"/>
      <c r="G431" s="33"/>
      <c r="H431" s="32"/>
      <c r="I431" s="32"/>
      <c r="J431" s="32"/>
      <c r="K431" s="28"/>
      <c r="L431" s="32"/>
      <c r="M431" s="28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>
      <c r="A432" s="28"/>
      <c r="B432" s="28"/>
      <c r="C432" s="28"/>
      <c r="D432" s="28"/>
      <c r="E432" s="32"/>
      <c r="F432" s="32"/>
      <c r="G432" s="33"/>
      <c r="H432" s="32"/>
      <c r="I432" s="32"/>
      <c r="J432" s="32"/>
      <c r="K432" s="28"/>
      <c r="L432" s="32"/>
      <c r="M432" s="28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>
      <c r="A433" s="28"/>
      <c r="B433" s="28"/>
      <c r="C433" s="28"/>
      <c r="D433" s="28"/>
      <c r="E433" s="32"/>
      <c r="F433" s="32"/>
      <c r="G433" s="33"/>
      <c r="H433" s="32"/>
      <c r="I433" s="32"/>
      <c r="J433" s="32"/>
      <c r="K433" s="28"/>
      <c r="L433" s="32"/>
      <c r="M433" s="28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>
      <c r="A434" s="28"/>
      <c r="B434" s="28"/>
      <c r="C434" s="28"/>
      <c r="D434" s="28"/>
      <c r="E434" s="32"/>
      <c r="F434" s="32"/>
      <c r="G434" s="33"/>
      <c r="H434" s="32"/>
      <c r="I434" s="32"/>
      <c r="J434" s="32"/>
      <c r="K434" s="28"/>
      <c r="L434" s="32"/>
      <c r="M434" s="28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>
      <c r="A435" s="28"/>
      <c r="B435" s="28"/>
      <c r="C435" s="28"/>
      <c r="D435" s="28"/>
      <c r="E435" s="32"/>
      <c r="F435" s="32"/>
      <c r="G435" s="33"/>
      <c r="H435" s="32"/>
      <c r="I435" s="32"/>
      <c r="J435" s="32"/>
      <c r="K435" s="28"/>
      <c r="L435" s="32"/>
      <c r="M435" s="28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>
      <c r="A436" s="28"/>
      <c r="B436" s="28"/>
      <c r="C436" s="28"/>
      <c r="D436" s="28"/>
      <c r="E436" s="32"/>
      <c r="F436" s="32"/>
      <c r="G436" s="33"/>
      <c r="H436" s="32"/>
      <c r="I436" s="32"/>
      <c r="J436" s="32"/>
      <c r="K436" s="28"/>
      <c r="L436" s="32"/>
      <c r="M436" s="28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>
      <c r="A437" s="28"/>
      <c r="B437" s="28"/>
      <c r="C437" s="28"/>
      <c r="D437" s="28"/>
      <c r="E437" s="32"/>
      <c r="F437" s="32"/>
      <c r="G437" s="33"/>
      <c r="H437" s="32"/>
      <c r="I437" s="32"/>
      <c r="J437" s="32"/>
      <c r="K437" s="28"/>
      <c r="L437" s="32"/>
      <c r="M437" s="28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>
      <c r="A438" s="28"/>
      <c r="B438" s="28"/>
      <c r="C438" s="28"/>
      <c r="D438" s="28"/>
      <c r="E438" s="32"/>
      <c r="F438" s="32"/>
      <c r="G438" s="33"/>
      <c r="H438" s="32"/>
      <c r="I438" s="32"/>
      <c r="J438" s="32"/>
      <c r="K438" s="28"/>
      <c r="L438" s="32"/>
      <c r="M438" s="28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>
      <c r="A439" s="28"/>
      <c r="B439" s="28"/>
      <c r="C439" s="28"/>
      <c r="D439" s="28"/>
      <c r="E439" s="32"/>
      <c r="F439" s="32"/>
      <c r="G439" s="33"/>
      <c r="H439" s="32"/>
      <c r="I439" s="32"/>
      <c r="J439" s="32"/>
      <c r="K439" s="28"/>
      <c r="L439" s="32"/>
      <c r="M439" s="28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>
      <c r="A440" s="28"/>
      <c r="B440" s="28"/>
      <c r="C440" s="28"/>
      <c r="D440" s="28"/>
      <c r="E440" s="32"/>
      <c r="F440" s="32"/>
      <c r="G440" s="33"/>
      <c r="H440" s="32"/>
      <c r="I440" s="32"/>
      <c r="J440" s="32"/>
      <c r="K440" s="28"/>
      <c r="L440" s="32"/>
      <c r="M440" s="28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>
      <c r="A441" s="28"/>
      <c r="B441" s="28"/>
      <c r="C441" s="28"/>
      <c r="D441" s="28"/>
      <c r="E441" s="32"/>
      <c r="F441" s="32"/>
      <c r="G441" s="33"/>
      <c r="H441" s="32"/>
      <c r="I441" s="32"/>
      <c r="J441" s="32"/>
      <c r="K441" s="28"/>
      <c r="L441" s="32"/>
      <c r="M441" s="28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>
      <c r="A442" s="28"/>
      <c r="B442" s="28"/>
      <c r="C442" s="28"/>
      <c r="D442" s="28"/>
      <c r="E442" s="32"/>
      <c r="F442" s="32"/>
      <c r="G442" s="33"/>
      <c r="H442" s="32"/>
      <c r="I442" s="32"/>
      <c r="J442" s="32"/>
      <c r="K442" s="28"/>
      <c r="L442" s="32"/>
      <c r="M442" s="28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>
      <c r="A443" s="28"/>
      <c r="B443" s="28"/>
      <c r="C443" s="28"/>
      <c r="D443" s="28"/>
      <c r="E443" s="32"/>
      <c r="F443" s="32"/>
      <c r="G443" s="33"/>
      <c r="H443" s="32"/>
      <c r="I443" s="32"/>
      <c r="J443" s="32"/>
      <c r="K443" s="28"/>
      <c r="L443" s="32"/>
      <c r="M443" s="28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>
      <c r="A444" s="28"/>
      <c r="B444" s="28"/>
      <c r="C444" s="28"/>
      <c r="D444" s="28"/>
      <c r="E444" s="32"/>
      <c r="F444" s="32"/>
      <c r="G444" s="33"/>
      <c r="H444" s="32"/>
      <c r="I444" s="32"/>
      <c r="J444" s="32"/>
      <c r="K444" s="28"/>
      <c r="L444" s="32"/>
      <c r="M444" s="28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>
      <c r="A445" s="28"/>
      <c r="B445" s="28"/>
      <c r="C445" s="28"/>
      <c r="D445" s="28"/>
      <c r="E445" s="32"/>
      <c r="F445" s="32"/>
      <c r="G445" s="33"/>
      <c r="H445" s="32"/>
      <c r="I445" s="32"/>
      <c r="J445" s="32"/>
      <c r="K445" s="28"/>
      <c r="L445" s="32"/>
      <c r="M445" s="28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>
      <c r="A446" s="28"/>
      <c r="B446" s="28"/>
      <c r="C446" s="28"/>
      <c r="D446" s="28"/>
      <c r="E446" s="32"/>
      <c r="F446" s="32"/>
      <c r="G446" s="33"/>
      <c r="H446" s="32"/>
      <c r="I446" s="32"/>
      <c r="J446" s="32"/>
      <c r="K446" s="28"/>
      <c r="L446" s="32"/>
      <c r="M446" s="28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>
      <c r="A447" s="28"/>
      <c r="B447" s="28"/>
      <c r="C447" s="28"/>
      <c r="D447" s="28"/>
      <c r="E447" s="32"/>
      <c r="F447" s="32"/>
      <c r="G447" s="33"/>
      <c r="H447" s="32"/>
      <c r="I447" s="32"/>
      <c r="J447" s="32"/>
      <c r="K447" s="28"/>
      <c r="L447" s="32"/>
      <c r="M447" s="28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>
      <c r="A448" s="28"/>
      <c r="B448" s="28"/>
      <c r="C448" s="28"/>
      <c r="D448" s="28"/>
      <c r="E448" s="32"/>
      <c r="F448" s="32"/>
      <c r="G448" s="33"/>
      <c r="H448" s="32"/>
      <c r="I448" s="32"/>
      <c r="J448" s="32"/>
      <c r="K448" s="28"/>
      <c r="L448" s="32"/>
      <c r="M448" s="28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>
      <c r="A449" s="28"/>
      <c r="B449" s="28"/>
      <c r="C449" s="28"/>
      <c r="D449" s="28"/>
      <c r="E449" s="32"/>
      <c r="F449" s="32"/>
      <c r="G449" s="33"/>
      <c r="H449" s="32"/>
      <c r="I449" s="32"/>
      <c r="J449" s="32"/>
      <c r="K449" s="28"/>
      <c r="L449" s="32"/>
      <c r="M449" s="28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>
      <c r="A450" s="28"/>
      <c r="B450" s="28"/>
      <c r="C450" s="28"/>
      <c r="D450" s="28"/>
      <c r="E450" s="32"/>
      <c r="F450" s="32"/>
      <c r="G450" s="33"/>
      <c r="H450" s="32"/>
      <c r="I450" s="32"/>
      <c r="J450" s="32"/>
      <c r="K450" s="28"/>
      <c r="L450" s="32"/>
      <c r="M450" s="28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>
      <c r="A451" s="28"/>
      <c r="B451" s="28"/>
      <c r="C451" s="28"/>
      <c r="D451" s="28"/>
      <c r="E451" s="32"/>
      <c r="F451" s="32"/>
      <c r="G451" s="33"/>
      <c r="H451" s="32"/>
      <c r="I451" s="32"/>
      <c r="J451" s="32"/>
      <c r="K451" s="28"/>
      <c r="L451" s="32"/>
      <c r="M451" s="28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>
      <c r="A452" s="28"/>
      <c r="B452" s="28"/>
      <c r="C452" s="28"/>
      <c r="D452" s="28"/>
      <c r="E452" s="32"/>
      <c r="F452" s="32"/>
      <c r="G452" s="33"/>
      <c r="H452" s="32"/>
      <c r="I452" s="32"/>
      <c r="J452" s="32"/>
      <c r="K452" s="28"/>
      <c r="L452" s="32"/>
      <c r="M452" s="28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>
      <c r="A453" s="28"/>
      <c r="B453" s="28"/>
      <c r="C453" s="28"/>
      <c r="D453" s="28"/>
      <c r="E453" s="32"/>
      <c r="F453" s="32"/>
      <c r="G453" s="33"/>
      <c r="H453" s="32"/>
      <c r="I453" s="32"/>
      <c r="J453" s="32"/>
      <c r="K453" s="28"/>
      <c r="L453" s="32"/>
      <c r="M453" s="28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>
      <c r="A454" s="28"/>
      <c r="B454" s="28"/>
      <c r="C454" s="28"/>
      <c r="D454" s="28"/>
      <c r="E454" s="32"/>
      <c r="F454" s="32"/>
      <c r="G454" s="33"/>
      <c r="H454" s="32"/>
      <c r="I454" s="32"/>
      <c r="J454" s="32"/>
      <c r="K454" s="28"/>
      <c r="L454" s="32"/>
      <c r="M454" s="28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>
      <c r="A455" s="28"/>
      <c r="B455" s="28"/>
      <c r="C455" s="28"/>
      <c r="D455" s="28"/>
      <c r="E455" s="32"/>
      <c r="F455" s="32"/>
      <c r="G455" s="33"/>
      <c r="H455" s="32"/>
      <c r="I455" s="32"/>
      <c r="J455" s="32"/>
      <c r="K455" s="28"/>
      <c r="L455" s="32"/>
      <c r="M455" s="28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>
      <c r="A456" s="28"/>
      <c r="B456" s="28"/>
      <c r="C456" s="28"/>
      <c r="D456" s="28"/>
      <c r="E456" s="32"/>
      <c r="F456" s="32"/>
      <c r="G456" s="33"/>
      <c r="H456" s="32"/>
      <c r="I456" s="32"/>
      <c r="J456" s="32"/>
      <c r="K456" s="28"/>
      <c r="L456" s="32"/>
      <c r="M456" s="28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>
      <c r="A457" s="28"/>
      <c r="B457" s="28"/>
      <c r="C457" s="28"/>
      <c r="D457" s="28"/>
      <c r="E457" s="32"/>
      <c r="F457" s="32"/>
      <c r="G457" s="33"/>
      <c r="H457" s="32"/>
      <c r="I457" s="32"/>
      <c r="J457" s="32"/>
      <c r="K457" s="28"/>
      <c r="L457" s="32"/>
      <c r="M457" s="28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>
      <c r="A458" s="28"/>
      <c r="B458" s="28"/>
      <c r="C458" s="28"/>
      <c r="D458" s="28"/>
      <c r="E458" s="32"/>
      <c r="F458" s="32"/>
      <c r="G458" s="33"/>
      <c r="H458" s="32"/>
      <c r="I458" s="32"/>
      <c r="J458" s="32"/>
      <c r="K458" s="28"/>
      <c r="L458" s="32"/>
      <c r="M458" s="28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>
      <c r="A459" s="28"/>
      <c r="B459" s="28"/>
      <c r="C459" s="28"/>
      <c r="D459" s="28"/>
      <c r="E459" s="32"/>
      <c r="F459" s="32"/>
      <c r="G459" s="33"/>
      <c r="H459" s="32"/>
      <c r="I459" s="32"/>
      <c r="J459" s="32"/>
      <c r="K459" s="28"/>
      <c r="L459" s="32"/>
      <c r="M459" s="28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>
      <c r="A460" s="28"/>
      <c r="B460" s="28"/>
      <c r="C460" s="28"/>
      <c r="D460" s="28"/>
      <c r="E460" s="32"/>
      <c r="F460" s="32"/>
      <c r="G460" s="33"/>
      <c r="H460" s="32"/>
      <c r="I460" s="32"/>
      <c r="J460" s="32"/>
      <c r="K460" s="28"/>
      <c r="L460" s="32"/>
      <c r="M460" s="28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>
      <c r="A461" s="28"/>
      <c r="B461" s="28"/>
      <c r="C461" s="28"/>
      <c r="D461" s="28"/>
      <c r="E461" s="32"/>
      <c r="F461" s="32"/>
      <c r="G461" s="33"/>
      <c r="H461" s="32"/>
      <c r="I461" s="32"/>
      <c r="J461" s="32"/>
      <c r="K461" s="28"/>
      <c r="L461" s="32"/>
      <c r="M461" s="28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>
      <c r="A462" s="28"/>
      <c r="B462" s="28"/>
      <c r="C462" s="28"/>
      <c r="D462" s="28"/>
      <c r="E462" s="32"/>
      <c r="F462" s="32"/>
      <c r="G462" s="33"/>
      <c r="H462" s="32"/>
      <c r="I462" s="32"/>
      <c r="J462" s="32"/>
      <c r="K462" s="28"/>
      <c r="L462" s="32"/>
      <c r="M462" s="28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>
      <c r="A463" s="28"/>
      <c r="B463" s="28"/>
      <c r="C463" s="28"/>
      <c r="D463" s="28"/>
      <c r="E463" s="32"/>
      <c r="F463" s="32"/>
      <c r="G463" s="33"/>
      <c r="H463" s="32"/>
      <c r="I463" s="32"/>
      <c r="J463" s="32"/>
      <c r="K463" s="28"/>
      <c r="L463" s="32"/>
      <c r="M463" s="28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>
      <c r="A464" s="28"/>
      <c r="B464" s="28"/>
      <c r="C464" s="28"/>
      <c r="D464" s="28"/>
      <c r="E464" s="32"/>
      <c r="F464" s="32"/>
      <c r="G464" s="33"/>
      <c r="H464" s="32"/>
      <c r="I464" s="32"/>
      <c r="J464" s="32"/>
      <c r="K464" s="28"/>
      <c r="L464" s="32"/>
      <c r="M464" s="28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>
      <c r="A465" s="28"/>
      <c r="B465" s="28"/>
      <c r="C465" s="28"/>
      <c r="D465" s="28"/>
      <c r="E465" s="32"/>
      <c r="F465" s="32"/>
      <c r="G465" s="33"/>
      <c r="H465" s="32"/>
      <c r="I465" s="32"/>
      <c r="J465" s="32"/>
      <c r="K465" s="28"/>
      <c r="L465" s="32"/>
      <c r="M465" s="28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>
      <c r="A466" s="28"/>
      <c r="B466" s="28"/>
      <c r="C466" s="28"/>
      <c r="D466" s="28"/>
      <c r="E466" s="32"/>
      <c r="F466" s="32"/>
      <c r="G466" s="33"/>
      <c r="H466" s="32"/>
      <c r="I466" s="32"/>
      <c r="J466" s="32"/>
      <c r="K466" s="28"/>
      <c r="L466" s="32"/>
      <c r="M466" s="28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>
      <c r="A467" s="28"/>
      <c r="B467" s="28"/>
      <c r="C467" s="28"/>
      <c r="D467" s="28"/>
      <c r="E467" s="32"/>
      <c r="F467" s="32"/>
      <c r="G467" s="33"/>
      <c r="H467" s="32"/>
      <c r="I467" s="32"/>
      <c r="J467" s="32"/>
      <c r="K467" s="28"/>
      <c r="L467" s="32"/>
      <c r="M467" s="28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>
      <c r="A468" s="28"/>
      <c r="B468" s="28"/>
      <c r="C468" s="28"/>
      <c r="D468" s="28"/>
      <c r="E468" s="32"/>
      <c r="F468" s="32"/>
      <c r="G468" s="33"/>
      <c r="H468" s="32"/>
      <c r="I468" s="32"/>
      <c r="J468" s="32"/>
      <c r="K468" s="28"/>
      <c r="L468" s="32"/>
      <c r="M468" s="28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>
      <c r="A469" s="28"/>
      <c r="B469" s="28"/>
      <c r="C469" s="28"/>
      <c r="D469" s="28"/>
      <c r="E469" s="32"/>
      <c r="F469" s="32"/>
      <c r="G469" s="33"/>
      <c r="H469" s="32"/>
      <c r="I469" s="32"/>
      <c r="J469" s="32"/>
      <c r="K469" s="28"/>
      <c r="L469" s="32"/>
      <c r="M469" s="28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>
      <c r="A470" s="28"/>
      <c r="B470" s="28"/>
      <c r="C470" s="28"/>
      <c r="D470" s="28"/>
      <c r="E470" s="32"/>
      <c r="F470" s="32"/>
      <c r="G470" s="33"/>
      <c r="H470" s="32"/>
      <c r="I470" s="32"/>
      <c r="J470" s="32"/>
      <c r="K470" s="28"/>
      <c r="L470" s="32"/>
      <c r="M470" s="28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>
      <c r="A471" s="28"/>
      <c r="B471" s="28"/>
      <c r="C471" s="28"/>
      <c r="D471" s="28"/>
      <c r="E471" s="32"/>
      <c r="F471" s="32"/>
      <c r="G471" s="33"/>
      <c r="H471" s="32"/>
      <c r="I471" s="32"/>
      <c r="J471" s="32"/>
      <c r="K471" s="28"/>
      <c r="L471" s="32"/>
      <c r="M471" s="28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>
      <c r="A472" s="28"/>
      <c r="B472" s="28"/>
      <c r="C472" s="28"/>
      <c r="D472" s="28"/>
      <c r="E472" s="32"/>
      <c r="F472" s="32"/>
      <c r="G472" s="33"/>
      <c r="H472" s="32"/>
      <c r="I472" s="32"/>
      <c r="J472" s="32"/>
      <c r="K472" s="28"/>
      <c r="L472" s="32"/>
      <c r="M472" s="28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>
      <c r="A473" s="28"/>
      <c r="B473" s="28"/>
      <c r="C473" s="28"/>
      <c r="D473" s="28"/>
      <c r="E473" s="32"/>
      <c r="F473" s="32"/>
      <c r="G473" s="33"/>
      <c r="H473" s="32"/>
      <c r="I473" s="32"/>
      <c r="J473" s="32"/>
      <c r="K473" s="28"/>
      <c r="L473" s="32"/>
      <c r="M473" s="28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>
      <c r="A474" s="28"/>
      <c r="B474" s="28"/>
      <c r="C474" s="28"/>
      <c r="D474" s="28"/>
      <c r="E474" s="32"/>
      <c r="F474" s="32"/>
      <c r="G474" s="33"/>
      <c r="H474" s="32"/>
      <c r="I474" s="32"/>
      <c r="J474" s="32"/>
      <c r="K474" s="28"/>
      <c r="L474" s="32"/>
      <c r="M474" s="28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>
      <c r="A475" s="28"/>
      <c r="B475" s="28"/>
      <c r="C475" s="28"/>
      <c r="D475" s="28"/>
      <c r="E475" s="32"/>
      <c r="F475" s="32"/>
      <c r="G475" s="33"/>
      <c r="H475" s="32"/>
      <c r="I475" s="32"/>
      <c r="J475" s="32"/>
      <c r="K475" s="28"/>
      <c r="L475" s="32"/>
      <c r="M475" s="28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>
      <c r="A476" s="28"/>
      <c r="B476" s="28"/>
      <c r="C476" s="28"/>
      <c r="D476" s="28"/>
      <c r="E476" s="32"/>
      <c r="F476" s="32"/>
      <c r="G476" s="33"/>
      <c r="H476" s="32"/>
      <c r="I476" s="32"/>
      <c r="J476" s="32"/>
      <c r="K476" s="28"/>
      <c r="L476" s="32"/>
      <c r="M476" s="28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>
      <c r="A477" s="28"/>
      <c r="B477" s="28"/>
      <c r="C477" s="28"/>
      <c r="D477" s="28"/>
      <c r="E477" s="32"/>
      <c r="F477" s="32"/>
      <c r="G477" s="33"/>
      <c r="H477" s="32"/>
      <c r="I477" s="32"/>
      <c r="J477" s="32"/>
      <c r="K477" s="28"/>
      <c r="L477" s="32"/>
      <c r="M477" s="28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>
      <c r="A478" s="28"/>
      <c r="B478" s="28"/>
      <c r="C478" s="28"/>
      <c r="D478" s="28"/>
      <c r="E478" s="32"/>
      <c r="F478" s="32"/>
      <c r="G478" s="33"/>
      <c r="H478" s="32"/>
      <c r="I478" s="32"/>
      <c r="J478" s="32"/>
      <c r="K478" s="28"/>
      <c r="L478" s="32"/>
      <c r="M478" s="28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>
      <c r="A479" s="28"/>
      <c r="B479" s="28"/>
      <c r="C479" s="28"/>
      <c r="D479" s="28"/>
      <c r="E479" s="32"/>
      <c r="F479" s="32"/>
      <c r="G479" s="33"/>
      <c r="H479" s="32"/>
      <c r="I479" s="32"/>
      <c r="J479" s="32"/>
      <c r="K479" s="28"/>
      <c r="L479" s="32"/>
      <c r="M479" s="28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>
      <c r="A480" s="28"/>
      <c r="B480" s="28"/>
      <c r="C480" s="28"/>
      <c r="D480" s="28"/>
      <c r="E480" s="32"/>
      <c r="F480" s="32"/>
      <c r="G480" s="33"/>
      <c r="H480" s="32"/>
      <c r="I480" s="32"/>
      <c r="J480" s="32"/>
      <c r="K480" s="28"/>
      <c r="L480" s="32"/>
      <c r="M480" s="28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>
      <c r="A481" s="28"/>
      <c r="B481" s="28"/>
      <c r="C481" s="28"/>
      <c r="D481" s="28"/>
      <c r="E481" s="32"/>
      <c r="F481" s="32"/>
      <c r="G481" s="33"/>
      <c r="H481" s="32"/>
      <c r="I481" s="32"/>
      <c r="J481" s="32"/>
      <c r="K481" s="28"/>
      <c r="L481" s="32"/>
      <c r="M481" s="28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>
      <c r="A482" s="28"/>
      <c r="B482" s="28"/>
      <c r="C482" s="28"/>
      <c r="D482" s="28"/>
      <c r="E482" s="32"/>
      <c r="F482" s="32"/>
      <c r="G482" s="33"/>
      <c r="H482" s="32"/>
      <c r="I482" s="32"/>
      <c r="J482" s="32"/>
      <c r="K482" s="28"/>
      <c r="L482" s="32"/>
      <c r="M482" s="28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>
      <c r="A483" s="28"/>
      <c r="B483" s="28"/>
      <c r="C483" s="28"/>
      <c r="D483" s="28"/>
      <c r="E483" s="32"/>
      <c r="F483" s="32"/>
      <c r="G483" s="33"/>
      <c r="H483" s="32"/>
      <c r="I483" s="32"/>
      <c r="J483" s="32"/>
      <c r="K483" s="28"/>
      <c r="L483" s="32"/>
      <c r="M483" s="28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>
      <c r="A484" s="28"/>
      <c r="B484" s="28"/>
      <c r="C484" s="28"/>
      <c r="D484" s="28"/>
      <c r="E484" s="32"/>
      <c r="F484" s="32"/>
      <c r="G484" s="33"/>
      <c r="H484" s="32"/>
      <c r="I484" s="32"/>
      <c r="J484" s="32"/>
      <c r="K484" s="28"/>
      <c r="L484" s="32"/>
      <c r="M484" s="28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>
      <c r="A485" s="28"/>
      <c r="B485" s="28"/>
      <c r="C485" s="28"/>
      <c r="D485" s="28"/>
      <c r="E485" s="32"/>
      <c r="F485" s="32"/>
      <c r="G485" s="33"/>
      <c r="H485" s="32"/>
      <c r="I485" s="32"/>
      <c r="J485" s="32"/>
      <c r="K485" s="28"/>
      <c r="L485" s="32"/>
      <c r="M485" s="28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>
      <c r="A486" s="28"/>
      <c r="B486" s="28"/>
      <c r="C486" s="28"/>
      <c r="D486" s="28"/>
      <c r="E486" s="32"/>
      <c r="F486" s="32"/>
      <c r="G486" s="33"/>
      <c r="H486" s="32"/>
      <c r="I486" s="32"/>
      <c r="J486" s="32"/>
      <c r="K486" s="28"/>
      <c r="L486" s="32"/>
      <c r="M486" s="28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>
      <c r="A487" s="28"/>
      <c r="B487" s="28"/>
      <c r="C487" s="28"/>
      <c r="D487" s="28"/>
      <c r="E487" s="32"/>
      <c r="F487" s="32"/>
      <c r="G487" s="33"/>
      <c r="H487" s="32"/>
      <c r="I487" s="32"/>
      <c r="J487" s="32"/>
      <c r="K487" s="28"/>
      <c r="L487" s="32"/>
      <c r="M487" s="28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>
      <c r="A488" s="28"/>
      <c r="B488" s="28"/>
      <c r="C488" s="28"/>
      <c r="D488" s="28"/>
      <c r="E488" s="32"/>
      <c r="F488" s="32"/>
      <c r="G488" s="33"/>
      <c r="H488" s="32"/>
      <c r="I488" s="32"/>
      <c r="J488" s="32"/>
      <c r="K488" s="28"/>
      <c r="L488" s="32"/>
      <c r="M488" s="28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>
      <c r="A489" s="28"/>
      <c r="B489" s="28"/>
      <c r="C489" s="28"/>
      <c r="D489" s="28"/>
      <c r="E489" s="32"/>
      <c r="F489" s="32"/>
      <c r="G489" s="33"/>
      <c r="H489" s="32"/>
      <c r="I489" s="32"/>
      <c r="J489" s="32"/>
      <c r="K489" s="28"/>
      <c r="L489" s="32"/>
      <c r="M489" s="28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>
      <c r="A490" s="28"/>
      <c r="B490" s="28"/>
      <c r="C490" s="28"/>
      <c r="D490" s="28"/>
      <c r="E490" s="32"/>
      <c r="F490" s="32"/>
      <c r="G490" s="33"/>
      <c r="H490" s="32"/>
      <c r="I490" s="32"/>
      <c r="J490" s="32"/>
      <c r="K490" s="28"/>
      <c r="L490" s="32"/>
      <c r="M490" s="28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>
      <c r="A491" s="28"/>
      <c r="B491" s="28"/>
      <c r="C491" s="28"/>
      <c r="D491" s="28"/>
      <c r="E491" s="32"/>
      <c r="F491" s="32"/>
      <c r="G491" s="33"/>
      <c r="H491" s="32"/>
      <c r="I491" s="32"/>
      <c r="J491" s="32"/>
      <c r="K491" s="28"/>
      <c r="L491" s="32"/>
      <c r="M491" s="28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>
      <c r="A492" s="28"/>
      <c r="B492" s="28"/>
      <c r="C492" s="28"/>
      <c r="D492" s="28"/>
      <c r="E492" s="32"/>
      <c r="F492" s="32"/>
      <c r="G492" s="33"/>
      <c r="H492" s="32"/>
      <c r="I492" s="32"/>
      <c r="J492" s="32"/>
      <c r="K492" s="28"/>
      <c r="L492" s="32"/>
      <c r="M492" s="28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>
      <c r="A493" s="28"/>
      <c r="B493" s="28"/>
      <c r="C493" s="28"/>
      <c r="D493" s="28"/>
      <c r="E493" s="32"/>
      <c r="F493" s="32"/>
      <c r="G493" s="33"/>
      <c r="H493" s="32"/>
      <c r="I493" s="32"/>
      <c r="J493" s="32"/>
      <c r="K493" s="28"/>
      <c r="L493" s="32"/>
      <c r="M493" s="28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>
      <c r="A494" s="28"/>
      <c r="B494" s="28"/>
      <c r="C494" s="28"/>
      <c r="D494" s="28"/>
      <c r="E494" s="32"/>
      <c r="F494" s="32"/>
      <c r="G494" s="33"/>
      <c r="H494" s="32"/>
      <c r="I494" s="32"/>
      <c r="J494" s="32"/>
      <c r="K494" s="28"/>
      <c r="L494" s="32"/>
      <c r="M494" s="28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>
      <c r="A495" s="28"/>
      <c r="B495" s="28"/>
      <c r="C495" s="28"/>
      <c r="D495" s="28"/>
      <c r="E495" s="32"/>
      <c r="F495" s="32"/>
      <c r="G495" s="33"/>
      <c r="H495" s="32"/>
      <c r="I495" s="32"/>
      <c r="J495" s="32"/>
      <c r="K495" s="28"/>
      <c r="L495" s="32"/>
      <c r="M495" s="28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>
      <c r="A496" s="28"/>
      <c r="B496" s="28"/>
      <c r="C496" s="28"/>
      <c r="D496" s="28"/>
      <c r="E496" s="32"/>
      <c r="F496" s="32"/>
      <c r="G496" s="33"/>
      <c r="H496" s="32"/>
      <c r="I496" s="32"/>
      <c r="J496" s="32"/>
      <c r="K496" s="28"/>
      <c r="L496" s="32"/>
      <c r="M496" s="28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>
      <c r="A497" s="28"/>
      <c r="B497" s="28"/>
      <c r="C497" s="28"/>
      <c r="D497" s="28"/>
      <c r="E497" s="32"/>
      <c r="F497" s="32"/>
      <c r="G497" s="33"/>
      <c r="H497" s="32"/>
      <c r="I497" s="32"/>
      <c r="J497" s="32"/>
      <c r="K497" s="28"/>
      <c r="L497" s="32"/>
      <c r="M497" s="28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>
      <c r="A498" s="28"/>
      <c r="B498" s="28"/>
      <c r="C498" s="28"/>
      <c r="D498" s="28"/>
      <c r="E498" s="32"/>
      <c r="F498" s="32"/>
      <c r="G498" s="33"/>
      <c r="H498" s="32"/>
      <c r="I498" s="32"/>
      <c r="J498" s="32"/>
      <c r="K498" s="28"/>
      <c r="L498" s="32"/>
      <c r="M498" s="28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>
      <c r="A499" s="28"/>
      <c r="B499" s="28"/>
      <c r="C499" s="28"/>
      <c r="D499" s="28"/>
      <c r="E499" s="32"/>
      <c r="F499" s="32"/>
      <c r="G499" s="33"/>
      <c r="H499" s="32"/>
      <c r="I499" s="32"/>
      <c r="J499" s="32"/>
      <c r="K499" s="28"/>
      <c r="L499" s="32"/>
      <c r="M499" s="28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>
      <c r="A500" s="28"/>
      <c r="B500" s="28"/>
      <c r="C500" s="28"/>
      <c r="D500" s="28"/>
      <c r="E500" s="32"/>
      <c r="F500" s="32"/>
      <c r="G500" s="33"/>
      <c r="H500" s="32"/>
      <c r="I500" s="32"/>
      <c r="J500" s="32"/>
      <c r="K500" s="28"/>
      <c r="L500" s="32"/>
      <c r="M500" s="28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>
      <c r="A501" s="28"/>
      <c r="B501" s="28"/>
      <c r="C501" s="28"/>
      <c r="D501" s="28"/>
      <c r="E501" s="32"/>
      <c r="F501" s="32"/>
      <c r="G501" s="33"/>
      <c r="H501" s="32"/>
      <c r="I501" s="32"/>
      <c r="J501" s="32"/>
      <c r="K501" s="28"/>
      <c r="L501" s="32"/>
      <c r="M501" s="28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>
      <c r="A502" s="28"/>
      <c r="B502" s="28"/>
      <c r="C502" s="28"/>
      <c r="D502" s="28"/>
      <c r="E502" s="32"/>
      <c r="F502" s="32"/>
      <c r="G502" s="33"/>
      <c r="H502" s="32"/>
      <c r="I502" s="32"/>
      <c r="J502" s="32"/>
      <c r="K502" s="28"/>
      <c r="L502" s="32"/>
      <c r="M502" s="28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>
      <c r="A503" s="28"/>
      <c r="B503" s="28"/>
      <c r="C503" s="28"/>
      <c r="D503" s="28"/>
      <c r="E503" s="32"/>
      <c r="F503" s="32"/>
      <c r="G503" s="33"/>
      <c r="H503" s="32"/>
      <c r="I503" s="32"/>
      <c r="J503" s="32"/>
      <c r="K503" s="28"/>
      <c r="L503" s="32"/>
      <c r="M503" s="28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>
      <c r="A504" s="28"/>
      <c r="B504" s="28"/>
      <c r="C504" s="28"/>
      <c r="D504" s="28"/>
      <c r="E504" s="32"/>
      <c r="F504" s="32"/>
      <c r="G504" s="33"/>
      <c r="H504" s="32"/>
      <c r="I504" s="32"/>
      <c r="J504" s="32"/>
      <c r="K504" s="28"/>
      <c r="L504" s="32"/>
      <c r="M504" s="28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>
      <c r="A505" s="28"/>
      <c r="B505" s="28"/>
      <c r="C505" s="28"/>
      <c r="D505" s="28"/>
      <c r="E505" s="32"/>
      <c r="F505" s="32"/>
      <c r="G505" s="33"/>
      <c r="H505" s="32"/>
      <c r="I505" s="32"/>
      <c r="J505" s="32"/>
      <c r="K505" s="28"/>
      <c r="L505" s="32"/>
      <c r="M505" s="28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>
      <c r="A506" s="28"/>
      <c r="B506" s="28"/>
      <c r="C506" s="28"/>
      <c r="D506" s="28"/>
      <c r="E506" s="32"/>
      <c r="F506" s="32"/>
      <c r="G506" s="33"/>
      <c r="H506" s="32"/>
      <c r="I506" s="32"/>
      <c r="J506" s="32"/>
      <c r="K506" s="28"/>
      <c r="L506" s="32"/>
      <c r="M506" s="28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>
      <c r="A507" s="28"/>
      <c r="B507" s="28"/>
      <c r="C507" s="28"/>
      <c r="D507" s="28"/>
      <c r="E507" s="32"/>
      <c r="F507" s="32"/>
      <c r="G507" s="33"/>
      <c r="H507" s="32"/>
      <c r="I507" s="32"/>
      <c r="J507" s="32"/>
      <c r="K507" s="28"/>
      <c r="L507" s="32"/>
      <c r="M507" s="28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>
      <c r="A508" s="28"/>
      <c r="B508" s="28"/>
      <c r="C508" s="28"/>
      <c r="D508" s="28"/>
      <c r="E508" s="32"/>
      <c r="F508" s="32"/>
      <c r="G508" s="33"/>
      <c r="H508" s="32"/>
      <c r="I508" s="32"/>
      <c r="J508" s="32"/>
      <c r="K508" s="28"/>
      <c r="L508" s="32"/>
      <c r="M508" s="28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>
      <c r="A509" s="28"/>
      <c r="B509" s="28"/>
      <c r="C509" s="28"/>
      <c r="D509" s="28"/>
      <c r="E509" s="32"/>
      <c r="F509" s="32"/>
      <c r="G509" s="33"/>
      <c r="H509" s="32"/>
      <c r="I509" s="32"/>
      <c r="J509" s="32"/>
      <c r="K509" s="28"/>
      <c r="L509" s="32"/>
      <c r="M509" s="28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>
      <c r="A510" s="28"/>
      <c r="B510" s="28"/>
      <c r="C510" s="28"/>
      <c r="D510" s="28"/>
      <c r="E510" s="32"/>
      <c r="F510" s="32"/>
      <c r="G510" s="33"/>
      <c r="H510" s="32"/>
      <c r="I510" s="32"/>
      <c r="J510" s="32"/>
      <c r="K510" s="28"/>
      <c r="L510" s="32"/>
      <c r="M510" s="28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>
      <c r="A511" s="28"/>
      <c r="B511" s="28"/>
      <c r="C511" s="28"/>
      <c r="D511" s="28"/>
      <c r="E511" s="32"/>
      <c r="F511" s="32"/>
      <c r="G511" s="33"/>
      <c r="H511" s="32"/>
      <c r="I511" s="32"/>
      <c r="J511" s="32"/>
      <c r="K511" s="28"/>
      <c r="L511" s="32"/>
      <c r="M511" s="28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>
      <c r="A512" s="28"/>
      <c r="B512" s="28"/>
      <c r="C512" s="28"/>
      <c r="D512" s="28"/>
      <c r="E512" s="32"/>
      <c r="F512" s="32"/>
      <c r="G512" s="33"/>
      <c r="H512" s="32"/>
      <c r="I512" s="32"/>
      <c r="J512" s="32"/>
      <c r="K512" s="28"/>
      <c r="L512" s="32"/>
      <c r="M512" s="28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>
      <c r="A513" s="28"/>
      <c r="B513" s="28"/>
      <c r="C513" s="28"/>
      <c r="D513" s="28"/>
      <c r="E513" s="32"/>
      <c r="F513" s="32"/>
      <c r="G513" s="33"/>
      <c r="H513" s="32"/>
      <c r="I513" s="32"/>
      <c r="J513" s="32"/>
      <c r="K513" s="28"/>
      <c r="L513" s="32"/>
      <c r="M513" s="28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>
      <c r="A514" s="28"/>
      <c r="B514" s="28"/>
      <c r="C514" s="28"/>
      <c r="D514" s="28"/>
      <c r="E514" s="32"/>
      <c r="F514" s="32"/>
      <c r="G514" s="33"/>
      <c r="H514" s="32"/>
      <c r="I514" s="32"/>
      <c r="J514" s="32"/>
      <c r="K514" s="28"/>
      <c r="L514" s="32"/>
      <c r="M514" s="28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>
      <c r="A515" s="28"/>
      <c r="B515" s="28"/>
      <c r="C515" s="28"/>
      <c r="D515" s="28"/>
      <c r="E515" s="32"/>
      <c r="F515" s="32"/>
      <c r="G515" s="33"/>
      <c r="H515" s="32"/>
      <c r="I515" s="32"/>
      <c r="J515" s="32"/>
      <c r="K515" s="28"/>
      <c r="L515" s="32"/>
      <c r="M515" s="28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>
      <c r="A516" s="28"/>
      <c r="B516" s="28"/>
      <c r="C516" s="28"/>
      <c r="D516" s="28"/>
      <c r="E516" s="32"/>
      <c r="F516" s="32"/>
      <c r="G516" s="33"/>
      <c r="H516" s="32"/>
      <c r="I516" s="32"/>
      <c r="J516" s="32"/>
      <c r="K516" s="28"/>
      <c r="L516" s="32"/>
      <c r="M516" s="28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>
      <c r="A517" s="28"/>
      <c r="B517" s="28"/>
      <c r="C517" s="28"/>
      <c r="D517" s="28"/>
      <c r="E517" s="32"/>
      <c r="F517" s="32"/>
      <c r="G517" s="33"/>
      <c r="H517" s="32"/>
      <c r="I517" s="32"/>
      <c r="J517" s="32"/>
      <c r="K517" s="28"/>
      <c r="L517" s="32"/>
      <c r="M517" s="28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>
      <c r="A518" s="28"/>
      <c r="B518" s="28"/>
      <c r="C518" s="28"/>
      <c r="D518" s="28"/>
      <c r="E518" s="32"/>
      <c r="F518" s="32"/>
      <c r="G518" s="33"/>
      <c r="H518" s="32"/>
      <c r="I518" s="32"/>
      <c r="J518" s="32"/>
      <c r="K518" s="28"/>
      <c r="L518" s="32"/>
      <c r="M518" s="28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>
      <c r="A519" s="28"/>
      <c r="B519" s="28"/>
      <c r="C519" s="28"/>
      <c r="D519" s="28"/>
      <c r="E519" s="32"/>
      <c r="F519" s="32"/>
      <c r="G519" s="33"/>
      <c r="H519" s="32"/>
      <c r="I519" s="32"/>
      <c r="J519" s="32"/>
      <c r="K519" s="28"/>
      <c r="L519" s="32"/>
      <c r="M519" s="28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>
      <c r="A520" s="28"/>
      <c r="B520" s="28"/>
      <c r="C520" s="28"/>
      <c r="D520" s="28"/>
      <c r="E520" s="32"/>
      <c r="F520" s="32"/>
      <c r="G520" s="33"/>
      <c r="H520" s="32"/>
      <c r="I520" s="32"/>
      <c r="J520" s="32"/>
      <c r="K520" s="28"/>
      <c r="L520" s="32"/>
      <c r="M520" s="28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>
      <c r="A521" s="28"/>
      <c r="B521" s="28"/>
      <c r="C521" s="28"/>
      <c r="D521" s="28"/>
      <c r="E521" s="32"/>
      <c r="F521" s="32"/>
      <c r="G521" s="33"/>
      <c r="H521" s="32"/>
      <c r="I521" s="32"/>
      <c r="J521" s="32"/>
      <c r="K521" s="28"/>
      <c r="L521" s="32"/>
      <c r="M521" s="28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>
      <c r="A522" s="28"/>
      <c r="B522" s="28"/>
      <c r="C522" s="28"/>
      <c r="D522" s="28"/>
      <c r="E522" s="32"/>
      <c r="F522" s="32"/>
      <c r="G522" s="33"/>
      <c r="H522" s="32"/>
      <c r="I522" s="32"/>
      <c r="J522" s="32"/>
      <c r="K522" s="28"/>
      <c r="L522" s="32"/>
      <c r="M522" s="28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>
      <c r="A523" s="28"/>
      <c r="B523" s="28"/>
      <c r="C523" s="28"/>
      <c r="D523" s="28"/>
      <c r="E523" s="32"/>
      <c r="F523" s="32"/>
      <c r="G523" s="33"/>
      <c r="H523" s="32"/>
      <c r="I523" s="32"/>
      <c r="J523" s="32"/>
      <c r="K523" s="28"/>
      <c r="L523" s="32"/>
      <c r="M523" s="28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>
      <c r="A524" s="28"/>
      <c r="B524" s="28"/>
      <c r="C524" s="28"/>
      <c r="D524" s="28"/>
      <c r="E524" s="32"/>
      <c r="F524" s="32"/>
      <c r="G524" s="33"/>
      <c r="H524" s="32"/>
      <c r="I524" s="32"/>
      <c r="J524" s="32"/>
      <c r="K524" s="28"/>
      <c r="L524" s="32"/>
      <c r="M524" s="28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>
      <c r="A525" s="28"/>
      <c r="B525" s="28"/>
      <c r="C525" s="28"/>
      <c r="D525" s="28"/>
      <c r="E525" s="32"/>
      <c r="F525" s="32"/>
      <c r="G525" s="33"/>
      <c r="H525" s="32"/>
      <c r="I525" s="32"/>
      <c r="J525" s="32"/>
      <c r="K525" s="28"/>
      <c r="L525" s="32"/>
      <c r="M525" s="28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>
      <c r="A526" s="28"/>
      <c r="B526" s="28"/>
      <c r="C526" s="28"/>
      <c r="D526" s="28"/>
      <c r="E526" s="32"/>
      <c r="F526" s="32"/>
      <c r="G526" s="33"/>
      <c r="H526" s="32"/>
      <c r="I526" s="32"/>
      <c r="J526" s="32"/>
      <c r="K526" s="28"/>
      <c r="L526" s="32"/>
      <c r="M526" s="28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>
      <c r="A527" s="28"/>
      <c r="B527" s="28"/>
      <c r="C527" s="28"/>
      <c r="D527" s="28"/>
      <c r="E527" s="32"/>
      <c r="F527" s="32"/>
      <c r="G527" s="33"/>
      <c r="H527" s="32"/>
      <c r="I527" s="32"/>
      <c r="J527" s="32"/>
      <c r="K527" s="28"/>
      <c r="L527" s="32"/>
      <c r="M527" s="28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>
      <c r="A528" s="28"/>
      <c r="B528" s="28"/>
      <c r="C528" s="28"/>
      <c r="D528" s="28"/>
      <c r="E528" s="32"/>
      <c r="F528" s="32"/>
      <c r="G528" s="33"/>
      <c r="H528" s="32"/>
      <c r="I528" s="32"/>
      <c r="J528" s="32"/>
      <c r="K528" s="28"/>
      <c r="L528" s="32"/>
      <c r="M528" s="28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>
      <c r="A529" s="28"/>
      <c r="B529" s="28"/>
      <c r="C529" s="28"/>
      <c r="D529" s="28"/>
      <c r="E529" s="32"/>
      <c r="F529" s="32"/>
      <c r="G529" s="33"/>
      <c r="H529" s="32"/>
      <c r="I529" s="32"/>
      <c r="J529" s="32"/>
      <c r="K529" s="28"/>
      <c r="L529" s="32"/>
      <c r="M529" s="28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>
      <c r="A530" s="28"/>
      <c r="B530" s="28"/>
      <c r="C530" s="28"/>
      <c r="D530" s="28"/>
      <c r="E530" s="32"/>
      <c r="F530" s="32"/>
      <c r="G530" s="33"/>
      <c r="H530" s="32"/>
      <c r="I530" s="32"/>
      <c r="J530" s="32"/>
      <c r="K530" s="28"/>
      <c r="L530" s="32"/>
      <c r="M530" s="28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>
      <c r="A531" s="28"/>
      <c r="B531" s="28"/>
      <c r="C531" s="28"/>
      <c r="D531" s="28"/>
      <c r="E531" s="32"/>
      <c r="F531" s="32"/>
      <c r="G531" s="33"/>
      <c r="H531" s="32"/>
      <c r="I531" s="32"/>
      <c r="J531" s="32"/>
      <c r="K531" s="28"/>
      <c r="L531" s="32"/>
      <c r="M531" s="28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>
      <c r="A532" s="28"/>
      <c r="B532" s="28"/>
      <c r="C532" s="28"/>
      <c r="D532" s="28"/>
      <c r="E532" s="32"/>
      <c r="F532" s="32"/>
      <c r="G532" s="33"/>
      <c r="H532" s="32"/>
      <c r="I532" s="32"/>
      <c r="J532" s="32"/>
      <c r="K532" s="28"/>
      <c r="L532" s="32"/>
      <c r="M532" s="28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>
      <c r="A533" s="28"/>
      <c r="B533" s="28"/>
      <c r="C533" s="28"/>
      <c r="D533" s="28"/>
      <c r="E533" s="32"/>
      <c r="F533" s="32"/>
      <c r="G533" s="33"/>
      <c r="H533" s="32"/>
      <c r="I533" s="32"/>
      <c r="J533" s="32"/>
      <c r="K533" s="28"/>
      <c r="L533" s="32"/>
      <c r="M533" s="28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>
      <c r="A534" s="28"/>
      <c r="B534" s="28"/>
      <c r="C534" s="28"/>
      <c r="D534" s="28"/>
      <c r="E534" s="32"/>
      <c r="F534" s="32"/>
      <c r="G534" s="33"/>
      <c r="H534" s="32"/>
      <c r="I534" s="32"/>
      <c r="J534" s="32"/>
      <c r="K534" s="28"/>
      <c r="L534" s="32"/>
      <c r="M534" s="28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>
      <c r="A535" s="28"/>
      <c r="B535" s="28"/>
      <c r="C535" s="28"/>
      <c r="D535" s="28"/>
      <c r="E535" s="32"/>
      <c r="F535" s="32"/>
      <c r="G535" s="33"/>
      <c r="H535" s="32"/>
      <c r="I535" s="32"/>
      <c r="J535" s="32"/>
      <c r="K535" s="28"/>
      <c r="L535" s="32"/>
      <c r="M535" s="28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>
      <c r="A536" s="28"/>
      <c r="B536" s="28"/>
      <c r="C536" s="28"/>
      <c r="D536" s="28"/>
      <c r="E536" s="32"/>
      <c r="F536" s="32"/>
      <c r="G536" s="33"/>
      <c r="H536" s="32"/>
      <c r="I536" s="32"/>
      <c r="J536" s="32"/>
      <c r="K536" s="28"/>
      <c r="L536" s="32"/>
      <c r="M536" s="28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>
      <c r="A537" s="28"/>
      <c r="B537" s="28"/>
      <c r="C537" s="28"/>
      <c r="D537" s="28"/>
      <c r="E537" s="32"/>
      <c r="F537" s="32"/>
      <c r="G537" s="33"/>
      <c r="H537" s="32"/>
      <c r="I537" s="32"/>
      <c r="J537" s="32"/>
      <c r="K537" s="28"/>
      <c r="L537" s="32"/>
      <c r="M537" s="28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>
      <c r="A538" s="28"/>
      <c r="B538" s="28"/>
      <c r="C538" s="28"/>
      <c r="D538" s="28"/>
      <c r="E538" s="32"/>
      <c r="F538" s="32"/>
      <c r="G538" s="33"/>
      <c r="H538" s="32"/>
      <c r="I538" s="32"/>
      <c r="J538" s="32"/>
      <c r="K538" s="28"/>
      <c r="L538" s="32"/>
      <c r="M538" s="28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>
      <c r="A539" s="28"/>
      <c r="B539" s="28"/>
      <c r="C539" s="28"/>
      <c r="D539" s="28"/>
      <c r="E539" s="32"/>
      <c r="F539" s="32"/>
      <c r="G539" s="33"/>
      <c r="H539" s="32"/>
      <c r="I539" s="32"/>
      <c r="J539" s="32"/>
      <c r="K539" s="28"/>
      <c r="L539" s="32"/>
      <c r="M539" s="28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>
      <c r="A540" s="28"/>
      <c r="B540" s="28"/>
      <c r="C540" s="28"/>
      <c r="D540" s="28"/>
      <c r="E540" s="32"/>
      <c r="F540" s="32"/>
      <c r="G540" s="33"/>
      <c r="H540" s="32"/>
      <c r="I540" s="32"/>
      <c r="J540" s="32"/>
      <c r="K540" s="28"/>
      <c r="L540" s="32"/>
      <c r="M540" s="28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>
      <c r="A541" s="28"/>
      <c r="B541" s="28"/>
      <c r="C541" s="28"/>
      <c r="D541" s="28"/>
      <c r="E541" s="32"/>
      <c r="F541" s="32"/>
      <c r="G541" s="33"/>
      <c r="H541" s="32"/>
      <c r="I541" s="32"/>
      <c r="J541" s="32"/>
      <c r="K541" s="28"/>
      <c r="L541" s="32"/>
      <c r="M541" s="28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>
      <c r="A542" s="28"/>
      <c r="B542" s="28"/>
      <c r="C542" s="28"/>
      <c r="D542" s="28"/>
      <c r="E542" s="32"/>
      <c r="F542" s="32"/>
      <c r="G542" s="33"/>
      <c r="H542" s="32"/>
      <c r="I542" s="32"/>
      <c r="J542" s="32"/>
      <c r="K542" s="28"/>
      <c r="L542" s="32"/>
      <c r="M542" s="28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>
      <c r="A543" s="28"/>
      <c r="B543" s="28"/>
      <c r="C543" s="28"/>
      <c r="D543" s="28"/>
      <c r="E543" s="32"/>
      <c r="F543" s="32"/>
      <c r="G543" s="33"/>
      <c r="H543" s="32"/>
      <c r="I543" s="32"/>
      <c r="J543" s="32"/>
      <c r="K543" s="28"/>
      <c r="L543" s="32"/>
      <c r="M543" s="28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>
      <c r="A544" s="28"/>
      <c r="B544" s="28"/>
      <c r="C544" s="28"/>
      <c r="D544" s="28"/>
      <c r="E544" s="32"/>
      <c r="F544" s="32"/>
      <c r="G544" s="33"/>
      <c r="H544" s="32"/>
      <c r="I544" s="32"/>
      <c r="J544" s="32"/>
      <c r="K544" s="28"/>
      <c r="L544" s="32"/>
      <c r="M544" s="28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>
      <c r="A545" s="28"/>
      <c r="B545" s="28"/>
      <c r="C545" s="28"/>
      <c r="D545" s="28"/>
      <c r="E545" s="32"/>
      <c r="F545" s="32"/>
      <c r="G545" s="33"/>
      <c r="H545" s="32"/>
      <c r="I545" s="32"/>
      <c r="J545" s="32"/>
      <c r="K545" s="28"/>
      <c r="L545" s="32"/>
      <c r="M545" s="28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>
      <c r="A546" s="28"/>
      <c r="B546" s="28"/>
      <c r="C546" s="28"/>
      <c r="D546" s="28"/>
      <c r="E546" s="32"/>
      <c r="F546" s="32"/>
      <c r="G546" s="33"/>
      <c r="H546" s="32"/>
      <c r="I546" s="32"/>
      <c r="J546" s="32"/>
      <c r="K546" s="28"/>
      <c r="L546" s="32"/>
      <c r="M546" s="28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>
      <c r="A547" s="28"/>
      <c r="B547" s="28"/>
      <c r="C547" s="28"/>
      <c r="D547" s="28"/>
      <c r="E547" s="32"/>
      <c r="F547" s="32"/>
      <c r="G547" s="33"/>
      <c r="H547" s="32"/>
      <c r="I547" s="32"/>
      <c r="J547" s="32"/>
      <c r="K547" s="28"/>
      <c r="L547" s="32"/>
      <c r="M547" s="28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>
      <c r="A548" s="28"/>
      <c r="B548" s="28"/>
      <c r="C548" s="28"/>
      <c r="D548" s="28"/>
      <c r="E548" s="32"/>
      <c r="F548" s="32"/>
      <c r="G548" s="33"/>
      <c r="H548" s="32"/>
      <c r="I548" s="32"/>
      <c r="J548" s="32"/>
      <c r="K548" s="28"/>
      <c r="L548" s="32"/>
      <c r="M548" s="28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>
      <c r="A549" s="28"/>
      <c r="B549" s="28"/>
      <c r="C549" s="28"/>
      <c r="D549" s="28"/>
      <c r="E549" s="32"/>
      <c r="F549" s="32"/>
      <c r="G549" s="33"/>
      <c r="H549" s="32"/>
      <c r="I549" s="32"/>
      <c r="J549" s="32"/>
      <c r="K549" s="28"/>
      <c r="L549" s="32"/>
      <c r="M549" s="28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>
      <c r="A550" s="28"/>
      <c r="B550" s="28"/>
      <c r="C550" s="28"/>
      <c r="D550" s="28"/>
      <c r="E550" s="32"/>
      <c r="F550" s="32"/>
      <c r="G550" s="33"/>
      <c r="H550" s="32"/>
      <c r="I550" s="32"/>
      <c r="J550" s="32"/>
      <c r="K550" s="28"/>
      <c r="L550" s="32"/>
      <c r="M550" s="28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>
      <c r="A551" s="28"/>
      <c r="B551" s="28"/>
      <c r="C551" s="28"/>
      <c r="D551" s="28"/>
      <c r="E551" s="32"/>
      <c r="F551" s="32"/>
      <c r="G551" s="33"/>
      <c r="H551" s="32"/>
      <c r="I551" s="32"/>
      <c r="J551" s="32"/>
      <c r="K551" s="28"/>
      <c r="L551" s="32"/>
      <c r="M551" s="28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>
      <c r="A552" s="28"/>
      <c r="B552" s="28"/>
      <c r="C552" s="28"/>
      <c r="D552" s="28"/>
      <c r="E552" s="32"/>
      <c r="F552" s="32"/>
      <c r="G552" s="33"/>
      <c r="H552" s="32"/>
      <c r="I552" s="32"/>
      <c r="J552" s="32"/>
      <c r="K552" s="28"/>
      <c r="L552" s="32"/>
      <c r="M552" s="28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>
      <c r="A553" s="28"/>
      <c r="B553" s="28"/>
      <c r="C553" s="28"/>
      <c r="D553" s="28"/>
      <c r="E553" s="32"/>
      <c r="F553" s="32"/>
      <c r="G553" s="33"/>
      <c r="H553" s="32"/>
      <c r="I553" s="32"/>
      <c r="J553" s="32"/>
      <c r="K553" s="28"/>
      <c r="L553" s="32"/>
      <c r="M553" s="28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>
      <c r="A554" s="28"/>
      <c r="B554" s="28"/>
      <c r="C554" s="28"/>
      <c r="D554" s="28"/>
      <c r="E554" s="32"/>
      <c r="F554" s="32"/>
      <c r="G554" s="33"/>
      <c r="H554" s="32"/>
      <c r="I554" s="32"/>
      <c r="J554" s="32"/>
      <c r="K554" s="28"/>
      <c r="L554" s="32"/>
      <c r="M554" s="28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>
      <c r="A555" s="28"/>
      <c r="B555" s="28"/>
      <c r="C555" s="28"/>
      <c r="D555" s="28"/>
      <c r="E555" s="32"/>
      <c r="F555" s="32"/>
      <c r="G555" s="33"/>
      <c r="H555" s="32"/>
      <c r="I555" s="32"/>
      <c r="J555" s="32"/>
      <c r="K555" s="28"/>
      <c r="L555" s="32"/>
      <c r="M555" s="28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>
      <c r="A556" s="28"/>
      <c r="B556" s="28"/>
      <c r="C556" s="28"/>
      <c r="D556" s="28"/>
      <c r="E556" s="32"/>
      <c r="F556" s="32"/>
      <c r="G556" s="33"/>
      <c r="H556" s="32"/>
      <c r="I556" s="32"/>
      <c r="J556" s="32"/>
      <c r="K556" s="28"/>
      <c r="L556" s="32"/>
      <c r="M556" s="28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>
      <c r="A557" s="28"/>
      <c r="B557" s="28"/>
      <c r="C557" s="28"/>
      <c r="D557" s="28"/>
      <c r="E557" s="32"/>
      <c r="F557" s="32"/>
      <c r="G557" s="33"/>
      <c r="H557" s="32"/>
      <c r="I557" s="32"/>
      <c r="J557" s="32"/>
      <c r="K557" s="28"/>
      <c r="L557" s="32"/>
      <c r="M557" s="28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>
      <c r="A558" s="28"/>
      <c r="B558" s="28"/>
      <c r="C558" s="28"/>
      <c r="D558" s="28"/>
      <c r="E558" s="32"/>
      <c r="F558" s="32"/>
      <c r="G558" s="33"/>
      <c r="H558" s="32"/>
      <c r="I558" s="32"/>
      <c r="J558" s="32"/>
      <c r="K558" s="28"/>
      <c r="L558" s="32"/>
      <c r="M558" s="28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>
      <c r="A559" s="28"/>
      <c r="B559" s="28"/>
      <c r="C559" s="28"/>
      <c r="D559" s="28"/>
      <c r="E559" s="32"/>
      <c r="F559" s="32"/>
      <c r="G559" s="33"/>
      <c r="H559" s="32"/>
      <c r="I559" s="32"/>
      <c r="J559" s="32"/>
      <c r="K559" s="28"/>
      <c r="L559" s="32"/>
      <c r="M559" s="28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>
      <c r="A560" s="28"/>
      <c r="B560" s="28"/>
      <c r="C560" s="28"/>
      <c r="D560" s="28"/>
      <c r="E560" s="32"/>
      <c r="F560" s="32"/>
      <c r="G560" s="33"/>
      <c r="H560" s="32"/>
      <c r="I560" s="32"/>
      <c r="J560" s="32"/>
      <c r="K560" s="28"/>
      <c r="L560" s="32"/>
      <c r="M560" s="28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>
      <c r="A561" s="28"/>
      <c r="B561" s="28"/>
      <c r="C561" s="28"/>
      <c r="D561" s="28"/>
      <c r="E561" s="32"/>
      <c r="F561" s="32"/>
      <c r="G561" s="33"/>
      <c r="H561" s="32"/>
      <c r="I561" s="32"/>
      <c r="J561" s="32"/>
      <c r="K561" s="28"/>
      <c r="L561" s="32"/>
      <c r="M561" s="28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>
      <c r="A562" s="28"/>
      <c r="B562" s="28"/>
      <c r="C562" s="28"/>
      <c r="D562" s="28"/>
      <c r="E562" s="32"/>
      <c r="F562" s="32"/>
      <c r="G562" s="33"/>
      <c r="H562" s="32"/>
      <c r="I562" s="32"/>
      <c r="J562" s="32"/>
      <c r="K562" s="28"/>
      <c r="L562" s="32"/>
      <c r="M562" s="28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>
      <c r="A563" s="28"/>
      <c r="B563" s="28"/>
      <c r="C563" s="28"/>
      <c r="D563" s="28"/>
      <c r="E563" s="32"/>
      <c r="F563" s="32"/>
      <c r="G563" s="33"/>
      <c r="H563" s="32"/>
      <c r="I563" s="32"/>
      <c r="J563" s="32"/>
      <c r="K563" s="28"/>
      <c r="L563" s="32"/>
      <c r="M563" s="28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>
      <c r="A564" s="28"/>
      <c r="B564" s="28"/>
      <c r="C564" s="28"/>
      <c r="D564" s="28"/>
      <c r="E564" s="32"/>
      <c r="F564" s="32"/>
      <c r="G564" s="33"/>
      <c r="H564" s="32"/>
      <c r="I564" s="32"/>
      <c r="J564" s="32"/>
      <c r="K564" s="28"/>
      <c r="L564" s="32"/>
      <c r="M564" s="28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>
      <c r="A565" s="28"/>
      <c r="B565" s="28"/>
      <c r="C565" s="28"/>
      <c r="D565" s="28"/>
      <c r="E565" s="32"/>
      <c r="F565" s="32"/>
      <c r="G565" s="33"/>
      <c r="H565" s="32"/>
      <c r="I565" s="32"/>
      <c r="J565" s="32"/>
      <c r="K565" s="28"/>
      <c r="L565" s="32"/>
      <c r="M565" s="28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>
      <c r="A566" s="28"/>
      <c r="B566" s="28"/>
      <c r="C566" s="28"/>
      <c r="D566" s="28"/>
      <c r="E566" s="32"/>
      <c r="F566" s="32"/>
      <c r="G566" s="33"/>
      <c r="H566" s="32"/>
      <c r="I566" s="32"/>
      <c r="J566" s="32"/>
      <c r="K566" s="28"/>
      <c r="L566" s="32"/>
      <c r="M566" s="28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>
      <c r="A567" s="28"/>
      <c r="B567" s="28"/>
      <c r="C567" s="28"/>
      <c r="D567" s="28"/>
      <c r="E567" s="32"/>
      <c r="F567" s="32"/>
      <c r="G567" s="33"/>
      <c r="H567" s="32"/>
      <c r="I567" s="32"/>
      <c r="J567" s="32"/>
      <c r="K567" s="28"/>
      <c r="L567" s="32"/>
      <c r="M567" s="28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>
      <c r="A568" s="28"/>
      <c r="B568" s="28"/>
      <c r="C568" s="28"/>
      <c r="D568" s="28"/>
      <c r="E568" s="32"/>
      <c r="F568" s="32"/>
      <c r="G568" s="33"/>
      <c r="H568" s="32"/>
      <c r="I568" s="32"/>
      <c r="J568" s="32"/>
      <c r="K568" s="28"/>
      <c r="L568" s="32"/>
      <c r="M568" s="28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>
      <c r="A569" s="28"/>
      <c r="B569" s="28"/>
      <c r="C569" s="28"/>
      <c r="D569" s="28"/>
      <c r="E569" s="32"/>
      <c r="F569" s="32"/>
      <c r="G569" s="33"/>
      <c r="H569" s="32"/>
      <c r="I569" s="32"/>
      <c r="J569" s="32"/>
      <c r="K569" s="28"/>
      <c r="L569" s="32"/>
      <c r="M569" s="28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>
      <c r="A570" s="28"/>
      <c r="B570" s="28"/>
      <c r="C570" s="28"/>
      <c r="D570" s="28"/>
      <c r="E570" s="32"/>
      <c r="F570" s="32"/>
      <c r="G570" s="33"/>
      <c r="H570" s="32"/>
      <c r="I570" s="32"/>
      <c r="J570" s="32"/>
      <c r="K570" s="28"/>
      <c r="L570" s="32"/>
      <c r="M570" s="28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>
      <c r="A571" s="28"/>
      <c r="B571" s="28"/>
      <c r="C571" s="28"/>
      <c r="D571" s="28"/>
      <c r="E571" s="32"/>
      <c r="F571" s="32"/>
      <c r="G571" s="33"/>
      <c r="H571" s="32"/>
      <c r="I571" s="32"/>
      <c r="J571" s="32"/>
      <c r="K571" s="28"/>
      <c r="L571" s="32"/>
      <c r="M571" s="28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>
      <c r="A572" s="28"/>
      <c r="B572" s="28"/>
      <c r="C572" s="28"/>
      <c r="D572" s="28"/>
      <c r="E572" s="32"/>
      <c r="F572" s="32"/>
      <c r="G572" s="33"/>
      <c r="H572" s="32"/>
      <c r="I572" s="32"/>
      <c r="J572" s="32"/>
      <c r="K572" s="28"/>
      <c r="L572" s="32"/>
      <c r="M572" s="28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>
      <c r="A573" s="28"/>
      <c r="B573" s="28"/>
      <c r="C573" s="28"/>
      <c r="D573" s="28"/>
      <c r="E573" s="32"/>
      <c r="F573" s="32"/>
      <c r="G573" s="33"/>
      <c r="H573" s="32"/>
      <c r="I573" s="32"/>
      <c r="J573" s="32"/>
      <c r="K573" s="28"/>
      <c r="L573" s="32"/>
      <c r="M573" s="28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>
      <c r="A574" s="28"/>
      <c r="B574" s="28"/>
      <c r="C574" s="28"/>
      <c r="D574" s="28"/>
      <c r="E574" s="32"/>
      <c r="F574" s="32"/>
      <c r="G574" s="33"/>
      <c r="H574" s="32"/>
      <c r="I574" s="32"/>
      <c r="J574" s="32"/>
      <c r="K574" s="28"/>
      <c r="L574" s="32"/>
      <c r="M574" s="28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>
      <c r="A575" s="28"/>
      <c r="B575" s="28"/>
      <c r="C575" s="28"/>
      <c r="D575" s="28"/>
      <c r="E575" s="32"/>
      <c r="F575" s="32"/>
      <c r="G575" s="33"/>
      <c r="H575" s="32"/>
      <c r="I575" s="32"/>
      <c r="J575" s="32"/>
      <c r="K575" s="28"/>
      <c r="L575" s="32"/>
      <c r="M575" s="28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>
      <c r="A576" s="28"/>
      <c r="B576" s="28"/>
      <c r="C576" s="28"/>
      <c r="D576" s="28"/>
      <c r="E576" s="32"/>
      <c r="F576" s="32"/>
      <c r="G576" s="33"/>
      <c r="H576" s="32"/>
      <c r="I576" s="32"/>
      <c r="J576" s="32"/>
      <c r="K576" s="28"/>
      <c r="L576" s="32"/>
      <c r="M576" s="28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>
      <c r="A577" s="28"/>
      <c r="B577" s="28"/>
      <c r="C577" s="28"/>
      <c r="D577" s="28"/>
      <c r="E577" s="32"/>
      <c r="F577" s="32"/>
      <c r="G577" s="33"/>
      <c r="H577" s="32"/>
      <c r="I577" s="32"/>
      <c r="J577" s="32"/>
      <c r="K577" s="28"/>
      <c r="L577" s="32"/>
      <c r="M577" s="28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>
      <c r="A578" s="28"/>
      <c r="B578" s="28"/>
      <c r="C578" s="28"/>
      <c r="D578" s="28"/>
      <c r="E578" s="32"/>
      <c r="F578" s="32"/>
      <c r="G578" s="33"/>
      <c r="H578" s="32"/>
      <c r="I578" s="32"/>
      <c r="J578" s="32"/>
      <c r="K578" s="28"/>
      <c r="L578" s="32"/>
      <c r="M578" s="28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>
      <c r="A579" s="28"/>
      <c r="B579" s="28"/>
      <c r="C579" s="28"/>
      <c r="D579" s="28"/>
      <c r="E579" s="32"/>
      <c r="F579" s="32"/>
      <c r="G579" s="33"/>
      <c r="H579" s="32"/>
      <c r="I579" s="32"/>
      <c r="J579" s="32"/>
      <c r="K579" s="28"/>
      <c r="L579" s="32"/>
      <c r="M579" s="28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>
      <c r="A580" s="28"/>
      <c r="B580" s="28"/>
      <c r="C580" s="28"/>
      <c r="D580" s="28"/>
      <c r="E580" s="32"/>
      <c r="F580" s="32"/>
      <c r="G580" s="33"/>
      <c r="H580" s="32"/>
      <c r="I580" s="32"/>
      <c r="J580" s="32"/>
      <c r="K580" s="28"/>
      <c r="L580" s="32"/>
      <c r="M580" s="28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>
      <c r="A581" s="28"/>
      <c r="B581" s="28"/>
      <c r="C581" s="28"/>
      <c r="D581" s="28"/>
      <c r="E581" s="32"/>
      <c r="F581" s="32"/>
      <c r="G581" s="33"/>
      <c r="H581" s="32"/>
      <c r="I581" s="32"/>
      <c r="J581" s="32"/>
      <c r="K581" s="28"/>
      <c r="L581" s="32"/>
      <c r="M581" s="28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>
      <c r="A582" s="28"/>
      <c r="B582" s="28"/>
      <c r="C582" s="28"/>
      <c r="D582" s="28"/>
      <c r="E582" s="32"/>
      <c r="F582" s="32"/>
      <c r="G582" s="33"/>
      <c r="H582" s="32"/>
      <c r="I582" s="32"/>
      <c r="J582" s="32"/>
      <c r="K582" s="28"/>
      <c r="L582" s="32"/>
      <c r="M582" s="28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>
      <c r="A583" s="28"/>
      <c r="B583" s="28"/>
      <c r="C583" s="28"/>
      <c r="D583" s="28"/>
      <c r="E583" s="32"/>
      <c r="F583" s="32"/>
      <c r="G583" s="33"/>
      <c r="H583" s="32"/>
      <c r="I583" s="32"/>
      <c r="J583" s="32"/>
      <c r="K583" s="28"/>
      <c r="L583" s="32"/>
      <c r="M583" s="28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>
      <c r="A584" s="28"/>
      <c r="B584" s="28"/>
      <c r="C584" s="28"/>
      <c r="D584" s="28"/>
      <c r="E584" s="32"/>
      <c r="F584" s="32"/>
      <c r="G584" s="33"/>
      <c r="H584" s="32"/>
      <c r="I584" s="32"/>
      <c r="J584" s="32"/>
      <c r="K584" s="28"/>
      <c r="L584" s="32"/>
      <c r="M584" s="28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>
      <c r="A585" s="28"/>
      <c r="B585" s="28"/>
      <c r="C585" s="28"/>
      <c r="D585" s="28"/>
      <c r="E585" s="32"/>
      <c r="F585" s="32"/>
      <c r="G585" s="33"/>
      <c r="H585" s="32"/>
      <c r="I585" s="32"/>
      <c r="J585" s="32"/>
      <c r="K585" s="28"/>
      <c r="L585" s="32"/>
      <c r="M585" s="28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>
      <c r="A586" s="28"/>
      <c r="B586" s="28"/>
      <c r="C586" s="28"/>
      <c r="D586" s="28"/>
      <c r="E586" s="32"/>
      <c r="F586" s="32"/>
      <c r="G586" s="33"/>
      <c r="H586" s="32"/>
      <c r="I586" s="32"/>
      <c r="J586" s="32"/>
      <c r="K586" s="28"/>
      <c r="L586" s="32"/>
      <c r="M586" s="28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>
      <c r="A587" s="28"/>
      <c r="B587" s="28"/>
      <c r="C587" s="28"/>
      <c r="D587" s="28"/>
      <c r="E587" s="32"/>
      <c r="F587" s="32"/>
      <c r="G587" s="33"/>
      <c r="H587" s="32"/>
      <c r="I587" s="32"/>
      <c r="J587" s="32"/>
      <c r="K587" s="28"/>
      <c r="L587" s="32"/>
      <c r="M587" s="28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>
      <c r="A588" s="28"/>
      <c r="B588" s="28"/>
      <c r="C588" s="28"/>
      <c r="D588" s="28"/>
      <c r="E588" s="32"/>
      <c r="F588" s="32"/>
      <c r="G588" s="33"/>
      <c r="H588" s="32"/>
      <c r="I588" s="32"/>
      <c r="J588" s="32"/>
      <c r="K588" s="28"/>
      <c r="L588" s="32"/>
      <c r="M588" s="28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>
      <c r="A589" s="28"/>
      <c r="B589" s="28"/>
      <c r="C589" s="28"/>
      <c r="D589" s="28"/>
      <c r="E589" s="32"/>
      <c r="F589" s="32"/>
      <c r="G589" s="33"/>
      <c r="H589" s="32"/>
      <c r="I589" s="32"/>
      <c r="J589" s="32"/>
      <c r="K589" s="28"/>
      <c r="L589" s="32"/>
      <c r="M589" s="28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>
      <c r="A590" s="28"/>
      <c r="B590" s="28"/>
      <c r="C590" s="28"/>
      <c r="D590" s="28"/>
      <c r="E590" s="32"/>
      <c r="F590" s="32"/>
      <c r="G590" s="33"/>
      <c r="H590" s="32"/>
      <c r="I590" s="32"/>
      <c r="J590" s="32"/>
      <c r="K590" s="28"/>
      <c r="L590" s="32"/>
      <c r="M590" s="28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>
      <c r="A591" s="28"/>
      <c r="B591" s="28"/>
      <c r="C591" s="28"/>
      <c r="D591" s="28"/>
      <c r="E591" s="32"/>
      <c r="F591" s="32"/>
      <c r="G591" s="33"/>
      <c r="H591" s="32"/>
      <c r="I591" s="32"/>
      <c r="J591" s="32"/>
      <c r="K591" s="28"/>
      <c r="L591" s="32"/>
      <c r="M591" s="28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>
      <c r="A592" s="28"/>
      <c r="B592" s="28"/>
      <c r="C592" s="28"/>
      <c r="D592" s="28"/>
      <c r="E592" s="32"/>
      <c r="F592" s="32"/>
      <c r="G592" s="33"/>
      <c r="H592" s="32"/>
      <c r="I592" s="32"/>
      <c r="J592" s="32"/>
      <c r="K592" s="28"/>
      <c r="L592" s="32"/>
      <c r="M592" s="28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>
      <c r="A593" s="28"/>
      <c r="B593" s="28"/>
      <c r="C593" s="28"/>
      <c r="D593" s="28"/>
      <c r="E593" s="32"/>
      <c r="F593" s="32"/>
      <c r="G593" s="33"/>
      <c r="H593" s="32"/>
      <c r="I593" s="32"/>
      <c r="J593" s="32"/>
      <c r="K593" s="28"/>
      <c r="L593" s="32"/>
      <c r="M593" s="28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>
      <c r="A594" s="28"/>
      <c r="B594" s="28"/>
      <c r="C594" s="28"/>
      <c r="D594" s="28"/>
      <c r="E594" s="32"/>
      <c r="F594" s="32"/>
      <c r="G594" s="33"/>
      <c r="H594" s="32"/>
      <c r="I594" s="32"/>
      <c r="J594" s="32"/>
      <c r="K594" s="28"/>
      <c r="L594" s="32"/>
      <c r="M594" s="28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>
      <c r="A595" s="28"/>
      <c r="B595" s="28"/>
      <c r="C595" s="28"/>
      <c r="D595" s="28"/>
      <c r="E595" s="32"/>
      <c r="F595" s="32"/>
      <c r="G595" s="33"/>
      <c r="H595" s="32"/>
      <c r="I595" s="32"/>
      <c r="J595" s="32"/>
      <c r="K595" s="28"/>
      <c r="L595" s="32"/>
      <c r="M595" s="28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>
      <c r="A596" s="28"/>
      <c r="B596" s="28"/>
      <c r="C596" s="28"/>
      <c r="D596" s="28"/>
      <c r="E596" s="32"/>
      <c r="F596" s="32"/>
      <c r="G596" s="33"/>
      <c r="H596" s="32"/>
      <c r="I596" s="32"/>
      <c r="J596" s="32"/>
      <c r="K596" s="28"/>
      <c r="L596" s="32"/>
      <c r="M596" s="28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>
      <c r="A597" s="28"/>
      <c r="B597" s="28"/>
      <c r="C597" s="28"/>
      <c r="D597" s="28"/>
      <c r="E597" s="32"/>
      <c r="F597" s="32"/>
      <c r="G597" s="33"/>
      <c r="H597" s="32"/>
      <c r="I597" s="32"/>
      <c r="J597" s="32"/>
      <c r="K597" s="28"/>
      <c r="L597" s="32"/>
      <c r="M597" s="28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>
      <c r="A598" s="28"/>
      <c r="B598" s="28"/>
      <c r="C598" s="28"/>
      <c r="D598" s="28"/>
      <c r="E598" s="32"/>
      <c r="F598" s="32"/>
      <c r="G598" s="33"/>
      <c r="H598" s="32"/>
      <c r="I598" s="32"/>
      <c r="J598" s="32"/>
      <c r="K598" s="28"/>
      <c r="L598" s="32"/>
      <c r="M598" s="28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>
      <c r="A599" s="28"/>
      <c r="B599" s="28"/>
      <c r="C599" s="28"/>
      <c r="D599" s="28"/>
      <c r="E599" s="32"/>
      <c r="F599" s="32"/>
      <c r="G599" s="33"/>
      <c r="H599" s="32"/>
      <c r="I599" s="32"/>
      <c r="J599" s="32"/>
      <c r="K599" s="28"/>
      <c r="L599" s="32"/>
      <c r="M599" s="28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>
      <c r="A600" s="28"/>
      <c r="B600" s="28"/>
      <c r="C600" s="28"/>
      <c r="D600" s="28"/>
      <c r="E600" s="32"/>
      <c r="F600" s="32"/>
      <c r="G600" s="33"/>
      <c r="H600" s="32"/>
      <c r="I600" s="32"/>
      <c r="J600" s="32"/>
      <c r="K600" s="28"/>
      <c r="L600" s="32"/>
      <c r="M600" s="28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>
      <c r="A601" s="28"/>
      <c r="B601" s="28"/>
      <c r="C601" s="28"/>
      <c r="D601" s="28"/>
      <c r="E601" s="32"/>
      <c r="F601" s="32"/>
      <c r="G601" s="33"/>
      <c r="H601" s="32"/>
      <c r="I601" s="32"/>
      <c r="J601" s="32"/>
      <c r="K601" s="28"/>
      <c r="L601" s="32"/>
      <c r="M601" s="28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>
      <c r="A602" s="28"/>
      <c r="B602" s="28"/>
      <c r="C602" s="28"/>
      <c r="D602" s="28"/>
      <c r="E602" s="32"/>
      <c r="F602" s="32"/>
      <c r="G602" s="33"/>
      <c r="H602" s="32"/>
      <c r="I602" s="32"/>
      <c r="J602" s="32"/>
      <c r="K602" s="28"/>
      <c r="L602" s="32"/>
      <c r="M602" s="28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>
      <c r="A603" s="28"/>
      <c r="B603" s="28"/>
      <c r="C603" s="28"/>
      <c r="D603" s="28"/>
      <c r="E603" s="32"/>
      <c r="F603" s="32"/>
      <c r="G603" s="33"/>
      <c r="H603" s="32"/>
      <c r="I603" s="32"/>
      <c r="J603" s="32"/>
      <c r="K603" s="28"/>
      <c r="L603" s="32"/>
      <c r="M603" s="28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>
      <c r="A604" s="28"/>
      <c r="B604" s="28"/>
      <c r="C604" s="28"/>
      <c r="D604" s="28"/>
      <c r="E604" s="32"/>
      <c r="F604" s="32"/>
      <c r="G604" s="33"/>
      <c r="H604" s="32"/>
      <c r="I604" s="32"/>
      <c r="J604" s="32"/>
      <c r="K604" s="28"/>
      <c r="L604" s="32"/>
      <c r="M604" s="28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>
      <c r="A605" s="28"/>
      <c r="B605" s="28"/>
      <c r="C605" s="28"/>
      <c r="D605" s="28"/>
      <c r="E605" s="32"/>
      <c r="F605" s="32"/>
      <c r="G605" s="33"/>
      <c r="H605" s="32"/>
      <c r="I605" s="32"/>
      <c r="J605" s="32"/>
      <c r="K605" s="28"/>
      <c r="L605" s="32"/>
      <c r="M605" s="28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>
      <c r="A606" s="28"/>
      <c r="B606" s="28"/>
      <c r="C606" s="28"/>
      <c r="D606" s="28"/>
      <c r="E606" s="32"/>
      <c r="F606" s="32"/>
      <c r="G606" s="33"/>
      <c r="H606" s="32"/>
      <c r="I606" s="32"/>
      <c r="J606" s="32"/>
      <c r="K606" s="28"/>
      <c r="L606" s="32"/>
      <c r="M606" s="28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>
      <c r="A607" s="28"/>
      <c r="B607" s="28"/>
      <c r="C607" s="28"/>
      <c r="D607" s="28"/>
      <c r="E607" s="32"/>
      <c r="F607" s="32"/>
      <c r="G607" s="33"/>
      <c r="H607" s="32"/>
      <c r="I607" s="32"/>
      <c r="J607" s="32"/>
      <c r="K607" s="28"/>
      <c r="L607" s="32"/>
      <c r="M607" s="28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>
      <c r="A608" s="28"/>
      <c r="B608" s="28"/>
      <c r="C608" s="28"/>
      <c r="D608" s="28"/>
      <c r="E608" s="32"/>
      <c r="F608" s="32"/>
      <c r="G608" s="33"/>
      <c r="H608" s="32"/>
      <c r="I608" s="32"/>
      <c r="J608" s="32"/>
      <c r="K608" s="28"/>
      <c r="L608" s="32"/>
      <c r="M608" s="28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>
      <c r="A609" s="28"/>
      <c r="B609" s="28"/>
      <c r="C609" s="28"/>
      <c r="D609" s="28"/>
      <c r="E609" s="32"/>
      <c r="F609" s="32"/>
      <c r="G609" s="33"/>
      <c r="H609" s="32"/>
      <c r="I609" s="32"/>
      <c r="J609" s="32"/>
      <c r="K609" s="28"/>
      <c r="L609" s="32"/>
      <c r="M609" s="28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>
      <c r="A610" s="28"/>
      <c r="B610" s="28"/>
      <c r="C610" s="28"/>
      <c r="D610" s="28"/>
      <c r="E610" s="32"/>
      <c r="F610" s="32"/>
      <c r="G610" s="33"/>
      <c r="H610" s="32"/>
      <c r="I610" s="32"/>
      <c r="J610" s="32"/>
      <c r="K610" s="28"/>
      <c r="L610" s="32"/>
      <c r="M610" s="28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>
      <c r="A611" s="28"/>
      <c r="B611" s="28"/>
      <c r="C611" s="28"/>
      <c r="D611" s="28"/>
      <c r="E611" s="32"/>
      <c r="F611" s="32"/>
      <c r="G611" s="33"/>
      <c r="H611" s="32"/>
      <c r="I611" s="32"/>
      <c r="J611" s="32"/>
      <c r="K611" s="28"/>
      <c r="L611" s="32"/>
      <c r="M611" s="28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>
      <c r="A612" s="28"/>
      <c r="B612" s="28"/>
      <c r="C612" s="28"/>
      <c r="D612" s="28"/>
      <c r="E612" s="32"/>
      <c r="F612" s="32"/>
      <c r="G612" s="33"/>
      <c r="H612" s="32"/>
      <c r="I612" s="32"/>
      <c r="J612" s="32"/>
      <c r="K612" s="28"/>
      <c r="L612" s="32"/>
      <c r="M612" s="28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>
      <c r="A613" s="28"/>
      <c r="B613" s="28"/>
      <c r="C613" s="28"/>
      <c r="D613" s="28"/>
      <c r="E613" s="32"/>
      <c r="F613" s="32"/>
      <c r="G613" s="33"/>
      <c r="H613" s="32"/>
      <c r="I613" s="32"/>
      <c r="J613" s="32"/>
      <c r="K613" s="28"/>
      <c r="L613" s="32"/>
      <c r="M613" s="28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>
      <c r="A614" s="28"/>
      <c r="B614" s="28"/>
      <c r="C614" s="28"/>
      <c r="D614" s="28"/>
      <c r="E614" s="32"/>
      <c r="F614" s="32"/>
      <c r="G614" s="33"/>
      <c r="H614" s="32"/>
      <c r="I614" s="32"/>
      <c r="J614" s="32"/>
      <c r="K614" s="28"/>
      <c r="L614" s="32"/>
      <c r="M614" s="28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>
      <c r="A615" s="28"/>
      <c r="B615" s="28"/>
      <c r="C615" s="28"/>
      <c r="D615" s="28"/>
      <c r="E615" s="32"/>
      <c r="F615" s="32"/>
      <c r="G615" s="33"/>
      <c r="H615" s="32"/>
      <c r="I615" s="32"/>
      <c r="J615" s="32"/>
      <c r="K615" s="28"/>
      <c r="L615" s="32"/>
      <c r="M615" s="28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>
      <c r="A616" s="28"/>
      <c r="B616" s="28"/>
      <c r="C616" s="28"/>
      <c r="D616" s="28"/>
      <c r="E616" s="32"/>
      <c r="F616" s="32"/>
      <c r="G616" s="33"/>
      <c r="H616" s="32"/>
      <c r="I616" s="32"/>
      <c r="J616" s="32"/>
      <c r="K616" s="28"/>
      <c r="L616" s="32"/>
      <c r="M616" s="28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>
      <c r="A617" s="28"/>
      <c r="B617" s="28"/>
      <c r="C617" s="28"/>
      <c r="D617" s="28"/>
      <c r="E617" s="32"/>
      <c r="F617" s="32"/>
      <c r="G617" s="33"/>
      <c r="H617" s="32"/>
      <c r="I617" s="32"/>
      <c r="J617" s="32"/>
      <c r="K617" s="28"/>
      <c r="L617" s="32"/>
      <c r="M617" s="28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>
      <c r="A618" s="28"/>
      <c r="B618" s="28"/>
      <c r="C618" s="28"/>
      <c r="D618" s="28"/>
      <c r="E618" s="32"/>
      <c r="F618" s="32"/>
      <c r="G618" s="33"/>
      <c r="H618" s="32"/>
      <c r="I618" s="32"/>
      <c r="J618" s="32"/>
      <c r="K618" s="28"/>
      <c r="L618" s="32"/>
      <c r="M618" s="28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>
      <c r="A619" s="28"/>
      <c r="B619" s="28"/>
      <c r="C619" s="28"/>
      <c r="D619" s="28"/>
      <c r="E619" s="32"/>
      <c r="F619" s="32"/>
      <c r="G619" s="33"/>
      <c r="H619" s="32"/>
      <c r="I619" s="32"/>
      <c r="J619" s="32"/>
      <c r="K619" s="28"/>
      <c r="L619" s="32"/>
      <c r="M619" s="28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>
      <c r="A620" s="28"/>
      <c r="B620" s="28"/>
      <c r="C620" s="28"/>
      <c r="D620" s="28"/>
      <c r="E620" s="32"/>
      <c r="F620" s="32"/>
      <c r="G620" s="33"/>
      <c r="H620" s="32"/>
      <c r="I620" s="32"/>
      <c r="J620" s="32"/>
      <c r="K620" s="28"/>
      <c r="L620" s="32"/>
      <c r="M620" s="28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>
      <c r="A621" s="28"/>
      <c r="B621" s="28"/>
      <c r="C621" s="28"/>
      <c r="D621" s="28"/>
      <c r="E621" s="32"/>
      <c r="F621" s="32"/>
      <c r="G621" s="33"/>
      <c r="H621" s="32"/>
      <c r="I621" s="32"/>
      <c r="J621" s="32"/>
      <c r="K621" s="28"/>
      <c r="L621" s="32"/>
      <c r="M621" s="28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>
      <c r="A622" s="28"/>
      <c r="B622" s="28"/>
      <c r="C622" s="28"/>
      <c r="D622" s="28"/>
      <c r="E622" s="32"/>
      <c r="F622" s="32"/>
      <c r="G622" s="33"/>
      <c r="H622" s="32"/>
      <c r="I622" s="32"/>
      <c r="J622" s="32"/>
      <c r="K622" s="28"/>
      <c r="L622" s="32"/>
      <c r="M622" s="28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>
      <c r="A623" s="28"/>
      <c r="B623" s="28"/>
      <c r="C623" s="28"/>
      <c r="D623" s="28"/>
      <c r="E623" s="32"/>
      <c r="F623" s="32"/>
      <c r="G623" s="33"/>
      <c r="H623" s="32"/>
      <c r="I623" s="32"/>
      <c r="J623" s="32"/>
      <c r="K623" s="28"/>
      <c r="L623" s="32"/>
      <c r="M623" s="28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>
      <c r="A624" s="28"/>
      <c r="B624" s="28"/>
      <c r="C624" s="28"/>
      <c r="D624" s="28"/>
      <c r="E624" s="32"/>
      <c r="F624" s="32"/>
      <c r="G624" s="33"/>
      <c r="H624" s="32"/>
      <c r="I624" s="32"/>
      <c r="J624" s="32"/>
      <c r="K624" s="28"/>
      <c r="L624" s="32"/>
      <c r="M624" s="28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>
      <c r="A625" s="28"/>
      <c r="B625" s="28"/>
      <c r="C625" s="28"/>
      <c r="D625" s="28"/>
      <c r="E625" s="32"/>
      <c r="F625" s="32"/>
      <c r="G625" s="33"/>
      <c r="H625" s="32"/>
      <c r="I625" s="32"/>
      <c r="J625" s="32"/>
      <c r="K625" s="28"/>
      <c r="L625" s="32"/>
      <c r="M625" s="28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>
      <c r="A626" s="28"/>
      <c r="B626" s="28"/>
      <c r="C626" s="28"/>
      <c r="D626" s="28"/>
      <c r="E626" s="32"/>
      <c r="F626" s="32"/>
      <c r="G626" s="33"/>
      <c r="H626" s="32"/>
      <c r="I626" s="32"/>
      <c r="J626" s="32"/>
      <c r="K626" s="28"/>
      <c r="L626" s="32"/>
      <c r="M626" s="28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>
      <c r="A627" s="28"/>
      <c r="B627" s="28"/>
      <c r="C627" s="28"/>
      <c r="D627" s="28"/>
      <c r="E627" s="32"/>
      <c r="F627" s="32"/>
      <c r="G627" s="33"/>
      <c r="H627" s="32"/>
      <c r="I627" s="32"/>
      <c r="J627" s="32"/>
      <c r="K627" s="28"/>
      <c r="L627" s="32"/>
      <c r="M627" s="28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>
      <c r="A628" s="28"/>
      <c r="B628" s="28"/>
      <c r="C628" s="28"/>
      <c r="D628" s="28"/>
      <c r="E628" s="32"/>
      <c r="F628" s="32"/>
      <c r="G628" s="33"/>
      <c r="H628" s="32"/>
      <c r="I628" s="32"/>
      <c r="J628" s="32"/>
      <c r="K628" s="28"/>
      <c r="L628" s="32"/>
      <c r="M628" s="28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>
      <c r="A629" s="28"/>
      <c r="B629" s="28"/>
      <c r="C629" s="28"/>
      <c r="D629" s="28"/>
      <c r="E629" s="32"/>
      <c r="F629" s="32"/>
      <c r="G629" s="33"/>
      <c r="H629" s="32"/>
      <c r="I629" s="32"/>
      <c r="J629" s="32"/>
      <c r="K629" s="28"/>
      <c r="L629" s="32"/>
      <c r="M629" s="28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>
      <c r="A630" s="28"/>
      <c r="B630" s="28"/>
      <c r="C630" s="28"/>
      <c r="D630" s="28"/>
      <c r="E630" s="32"/>
      <c r="F630" s="32"/>
      <c r="G630" s="33"/>
      <c r="H630" s="32"/>
      <c r="I630" s="32"/>
      <c r="J630" s="32"/>
      <c r="K630" s="28"/>
      <c r="L630" s="32"/>
      <c r="M630" s="28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>
      <c r="A631" s="28"/>
      <c r="B631" s="28"/>
      <c r="C631" s="28"/>
      <c r="D631" s="28"/>
      <c r="E631" s="32"/>
      <c r="F631" s="32"/>
      <c r="G631" s="33"/>
      <c r="H631" s="32"/>
      <c r="I631" s="32"/>
      <c r="J631" s="32"/>
      <c r="K631" s="28"/>
      <c r="L631" s="32"/>
      <c r="M631" s="28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>
      <c r="A632" s="28"/>
      <c r="B632" s="28"/>
      <c r="C632" s="28"/>
      <c r="D632" s="28"/>
      <c r="E632" s="32"/>
      <c r="F632" s="32"/>
      <c r="G632" s="33"/>
      <c r="H632" s="32"/>
      <c r="I632" s="32"/>
      <c r="J632" s="32"/>
      <c r="K632" s="28"/>
      <c r="L632" s="32"/>
      <c r="M632" s="28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>
      <c r="A633" s="28"/>
      <c r="B633" s="28"/>
      <c r="C633" s="28"/>
      <c r="D633" s="28"/>
      <c r="E633" s="32"/>
      <c r="F633" s="32"/>
      <c r="G633" s="33"/>
      <c r="H633" s="32"/>
      <c r="I633" s="32"/>
      <c r="J633" s="32"/>
      <c r="K633" s="28"/>
      <c r="L633" s="32"/>
      <c r="M633" s="28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>
      <c r="A634" s="28"/>
      <c r="B634" s="28"/>
      <c r="C634" s="28"/>
      <c r="D634" s="28"/>
      <c r="E634" s="32"/>
      <c r="F634" s="32"/>
      <c r="G634" s="33"/>
      <c r="H634" s="32"/>
      <c r="I634" s="32"/>
      <c r="J634" s="32"/>
      <c r="K634" s="28"/>
      <c r="L634" s="32"/>
      <c r="M634" s="28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>
      <c r="A635" s="28"/>
      <c r="B635" s="28"/>
      <c r="C635" s="28"/>
      <c r="D635" s="28"/>
      <c r="E635" s="32"/>
      <c r="F635" s="32"/>
      <c r="G635" s="33"/>
      <c r="H635" s="32"/>
      <c r="I635" s="32"/>
      <c r="J635" s="32"/>
      <c r="K635" s="28"/>
      <c r="L635" s="32"/>
      <c r="M635" s="28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>
      <c r="A636" s="28"/>
      <c r="B636" s="28"/>
      <c r="C636" s="28"/>
      <c r="D636" s="28"/>
      <c r="E636" s="32"/>
      <c r="F636" s="32"/>
      <c r="G636" s="33"/>
      <c r="H636" s="32"/>
      <c r="I636" s="32"/>
      <c r="J636" s="32"/>
      <c r="K636" s="28"/>
      <c r="L636" s="32"/>
      <c r="M636" s="28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>
      <c r="A637" s="28"/>
      <c r="B637" s="28"/>
      <c r="C637" s="28"/>
      <c r="D637" s="28"/>
      <c r="E637" s="32"/>
      <c r="F637" s="32"/>
      <c r="G637" s="33"/>
      <c r="H637" s="32"/>
      <c r="I637" s="32"/>
      <c r="J637" s="32"/>
      <c r="K637" s="28"/>
      <c r="L637" s="32"/>
      <c r="M637" s="28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>
      <c r="A638" s="28"/>
      <c r="B638" s="28"/>
      <c r="C638" s="28"/>
      <c r="D638" s="28"/>
      <c r="E638" s="32"/>
      <c r="F638" s="32"/>
      <c r="G638" s="33"/>
      <c r="H638" s="32"/>
      <c r="I638" s="32"/>
      <c r="J638" s="32"/>
      <c r="K638" s="28"/>
      <c r="L638" s="32"/>
      <c r="M638" s="28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>
      <c r="A639" s="28"/>
      <c r="B639" s="28"/>
      <c r="C639" s="28"/>
      <c r="D639" s="28"/>
      <c r="E639" s="32"/>
      <c r="F639" s="32"/>
      <c r="G639" s="33"/>
      <c r="H639" s="32"/>
      <c r="I639" s="32"/>
      <c r="J639" s="32"/>
      <c r="K639" s="28"/>
      <c r="L639" s="32"/>
      <c r="M639" s="28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>
      <c r="A640" s="28"/>
      <c r="B640" s="28"/>
      <c r="C640" s="28"/>
      <c r="D640" s="28"/>
      <c r="E640" s="32"/>
      <c r="F640" s="32"/>
      <c r="G640" s="33"/>
      <c r="H640" s="32"/>
      <c r="I640" s="32"/>
      <c r="J640" s="32"/>
      <c r="K640" s="28"/>
      <c r="L640" s="32"/>
      <c r="M640" s="28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>
      <c r="A641" s="28"/>
      <c r="B641" s="28"/>
      <c r="C641" s="28"/>
      <c r="D641" s="28"/>
      <c r="E641" s="32"/>
      <c r="F641" s="32"/>
      <c r="G641" s="33"/>
      <c r="H641" s="32"/>
      <c r="I641" s="32"/>
      <c r="J641" s="32"/>
      <c r="K641" s="28"/>
      <c r="L641" s="32"/>
      <c r="M641" s="28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>
      <c r="A642" s="28"/>
      <c r="B642" s="28"/>
      <c r="C642" s="28"/>
      <c r="D642" s="28"/>
      <c r="E642" s="32"/>
      <c r="F642" s="32"/>
      <c r="G642" s="33"/>
      <c r="H642" s="32"/>
      <c r="I642" s="32"/>
      <c r="J642" s="32"/>
      <c r="K642" s="28"/>
      <c r="L642" s="32"/>
      <c r="M642" s="28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>
      <c r="A643" s="28"/>
      <c r="B643" s="28"/>
      <c r="C643" s="28"/>
      <c r="D643" s="28"/>
      <c r="E643" s="32"/>
      <c r="F643" s="32"/>
      <c r="G643" s="33"/>
      <c r="H643" s="32"/>
      <c r="I643" s="32"/>
      <c r="J643" s="32"/>
      <c r="K643" s="28"/>
      <c r="L643" s="32"/>
      <c r="M643" s="28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>
      <c r="A644" s="28"/>
      <c r="B644" s="28"/>
      <c r="C644" s="28"/>
      <c r="D644" s="28"/>
      <c r="E644" s="32"/>
      <c r="F644" s="32"/>
      <c r="G644" s="33"/>
      <c r="H644" s="32"/>
      <c r="I644" s="32"/>
      <c r="J644" s="32"/>
      <c r="K644" s="28"/>
      <c r="L644" s="32"/>
      <c r="M644" s="28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>
      <c r="A645" s="28"/>
      <c r="B645" s="28"/>
      <c r="C645" s="28"/>
      <c r="D645" s="28"/>
      <c r="E645" s="32"/>
      <c r="F645" s="32"/>
      <c r="G645" s="33"/>
      <c r="H645" s="32"/>
      <c r="I645" s="32"/>
      <c r="J645" s="32"/>
      <c r="K645" s="28"/>
      <c r="L645" s="32"/>
      <c r="M645" s="28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>
      <c r="A646" s="28"/>
      <c r="B646" s="28"/>
      <c r="C646" s="28"/>
      <c r="D646" s="28"/>
      <c r="E646" s="32"/>
      <c r="F646" s="32"/>
      <c r="G646" s="33"/>
      <c r="H646" s="32"/>
      <c r="I646" s="32"/>
      <c r="J646" s="32"/>
      <c r="K646" s="28"/>
      <c r="L646" s="32"/>
      <c r="M646" s="28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>
      <c r="A647" s="28"/>
      <c r="B647" s="28"/>
      <c r="C647" s="28"/>
      <c r="D647" s="28"/>
      <c r="E647" s="32"/>
      <c r="F647" s="32"/>
      <c r="G647" s="33"/>
      <c r="H647" s="32"/>
      <c r="I647" s="32"/>
      <c r="J647" s="32"/>
      <c r="K647" s="28"/>
      <c r="L647" s="32"/>
      <c r="M647" s="28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>
      <c r="A648" s="28"/>
      <c r="B648" s="28"/>
      <c r="C648" s="28"/>
      <c r="D648" s="28"/>
      <c r="E648" s="32"/>
      <c r="F648" s="32"/>
      <c r="G648" s="33"/>
      <c r="H648" s="32"/>
      <c r="I648" s="32"/>
      <c r="J648" s="32"/>
      <c r="K648" s="28"/>
      <c r="L648" s="32"/>
      <c r="M648" s="28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>
      <c r="A649" s="28"/>
      <c r="B649" s="28"/>
      <c r="C649" s="28"/>
      <c r="D649" s="28"/>
      <c r="E649" s="32"/>
      <c r="F649" s="32"/>
      <c r="G649" s="33"/>
      <c r="H649" s="32"/>
      <c r="I649" s="32"/>
      <c r="J649" s="32"/>
      <c r="K649" s="28"/>
      <c r="L649" s="32"/>
      <c r="M649" s="28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>
      <c r="A650" s="28"/>
      <c r="B650" s="28"/>
      <c r="C650" s="28"/>
      <c r="D650" s="28"/>
      <c r="E650" s="32"/>
      <c r="F650" s="32"/>
      <c r="G650" s="33"/>
      <c r="H650" s="32"/>
      <c r="I650" s="32"/>
      <c r="J650" s="32"/>
      <c r="K650" s="28"/>
      <c r="L650" s="32"/>
      <c r="M650" s="28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>
      <c r="A651" s="28"/>
      <c r="B651" s="28"/>
      <c r="C651" s="28"/>
      <c r="D651" s="28"/>
      <c r="E651" s="32"/>
      <c r="F651" s="32"/>
      <c r="G651" s="33"/>
      <c r="H651" s="32"/>
      <c r="I651" s="32"/>
      <c r="J651" s="32"/>
      <c r="K651" s="28"/>
      <c r="L651" s="32"/>
      <c r="M651" s="28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>
      <c r="A652" s="28"/>
      <c r="B652" s="28"/>
      <c r="C652" s="28"/>
      <c r="D652" s="28"/>
      <c r="E652" s="32"/>
      <c r="F652" s="32"/>
      <c r="G652" s="33"/>
      <c r="H652" s="32"/>
      <c r="I652" s="32"/>
      <c r="J652" s="32"/>
      <c r="K652" s="28"/>
      <c r="L652" s="32"/>
      <c r="M652" s="28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>
      <c r="A653" s="28"/>
      <c r="B653" s="28"/>
      <c r="C653" s="28"/>
      <c r="D653" s="28"/>
      <c r="E653" s="32"/>
      <c r="F653" s="32"/>
      <c r="G653" s="33"/>
      <c r="H653" s="32"/>
      <c r="I653" s="32"/>
      <c r="J653" s="32"/>
      <c r="K653" s="28"/>
      <c r="L653" s="32"/>
      <c r="M653" s="28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>
      <c r="A654" s="28"/>
      <c r="B654" s="28"/>
      <c r="C654" s="28"/>
      <c r="D654" s="28"/>
      <c r="E654" s="32"/>
      <c r="F654" s="32"/>
      <c r="G654" s="33"/>
      <c r="H654" s="32"/>
      <c r="I654" s="32"/>
      <c r="J654" s="32"/>
      <c r="K654" s="28"/>
      <c r="L654" s="32"/>
      <c r="M654" s="28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>
      <c r="A655" s="28"/>
      <c r="B655" s="28"/>
      <c r="C655" s="28"/>
      <c r="D655" s="28"/>
      <c r="E655" s="32"/>
      <c r="F655" s="32"/>
      <c r="G655" s="33"/>
      <c r="H655" s="32"/>
      <c r="I655" s="32"/>
      <c r="J655" s="32"/>
      <c r="K655" s="28"/>
      <c r="L655" s="32"/>
      <c r="M655" s="28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>
      <c r="A656" s="28"/>
      <c r="B656" s="28"/>
      <c r="C656" s="28"/>
      <c r="D656" s="28"/>
      <c r="E656" s="32"/>
      <c r="F656" s="32"/>
      <c r="G656" s="33"/>
      <c r="H656" s="32"/>
      <c r="I656" s="32"/>
      <c r="J656" s="32"/>
      <c r="K656" s="28"/>
      <c r="L656" s="32"/>
      <c r="M656" s="28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>
      <c r="A657" s="28"/>
      <c r="B657" s="28"/>
      <c r="C657" s="28"/>
      <c r="D657" s="28"/>
      <c r="E657" s="32"/>
      <c r="F657" s="32"/>
      <c r="G657" s="33"/>
      <c r="H657" s="32"/>
      <c r="I657" s="32"/>
      <c r="J657" s="32"/>
      <c r="K657" s="28"/>
      <c r="L657" s="32"/>
      <c r="M657" s="28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>
      <c r="A658" s="28"/>
      <c r="B658" s="28"/>
      <c r="C658" s="28"/>
      <c r="D658" s="28"/>
      <c r="E658" s="32"/>
      <c r="F658" s="32"/>
      <c r="G658" s="33"/>
      <c r="H658" s="32"/>
      <c r="I658" s="32"/>
      <c r="J658" s="32"/>
      <c r="K658" s="28"/>
      <c r="L658" s="32"/>
      <c r="M658" s="28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>
      <c r="A659" s="28"/>
      <c r="B659" s="28"/>
      <c r="C659" s="28"/>
      <c r="D659" s="28"/>
      <c r="E659" s="32"/>
      <c r="F659" s="32"/>
      <c r="G659" s="33"/>
      <c r="H659" s="32"/>
      <c r="I659" s="32"/>
      <c r="J659" s="32"/>
      <c r="K659" s="28"/>
      <c r="L659" s="32"/>
      <c r="M659" s="28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>
      <c r="A660" s="28"/>
      <c r="B660" s="28"/>
      <c r="C660" s="28"/>
      <c r="D660" s="28"/>
      <c r="E660" s="32"/>
      <c r="F660" s="32"/>
      <c r="G660" s="33"/>
      <c r="H660" s="32"/>
      <c r="I660" s="32"/>
      <c r="J660" s="32"/>
      <c r="K660" s="28"/>
      <c r="L660" s="32"/>
      <c r="M660" s="28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>
      <c r="A661" s="28"/>
      <c r="B661" s="28"/>
      <c r="C661" s="28"/>
      <c r="D661" s="28"/>
      <c r="E661" s="32"/>
      <c r="F661" s="32"/>
      <c r="G661" s="33"/>
      <c r="H661" s="32"/>
      <c r="I661" s="32"/>
      <c r="J661" s="32"/>
      <c r="K661" s="28"/>
      <c r="L661" s="32"/>
      <c r="M661" s="28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>
      <c r="A662" s="28"/>
      <c r="B662" s="28"/>
      <c r="C662" s="28"/>
      <c r="D662" s="28"/>
      <c r="E662" s="32"/>
      <c r="F662" s="32"/>
      <c r="G662" s="33"/>
      <c r="H662" s="32"/>
      <c r="I662" s="32"/>
      <c r="J662" s="32"/>
      <c r="K662" s="28"/>
      <c r="L662" s="32"/>
      <c r="M662" s="28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>
      <c r="A663" s="28"/>
      <c r="B663" s="28"/>
      <c r="C663" s="28"/>
      <c r="D663" s="28"/>
      <c r="E663" s="32"/>
      <c r="F663" s="32"/>
      <c r="G663" s="33"/>
      <c r="H663" s="32"/>
      <c r="I663" s="32"/>
      <c r="J663" s="32"/>
      <c r="K663" s="28"/>
      <c r="L663" s="32"/>
      <c r="M663" s="28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>
      <c r="A664" s="28"/>
      <c r="B664" s="28"/>
      <c r="C664" s="28"/>
      <c r="D664" s="28"/>
      <c r="E664" s="32"/>
      <c r="F664" s="32"/>
      <c r="G664" s="33"/>
      <c r="H664" s="32"/>
      <c r="I664" s="32"/>
      <c r="J664" s="32"/>
      <c r="K664" s="28"/>
      <c r="L664" s="32"/>
      <c r="M664" s="28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>
      <c r="A665" s="28"/>
      <c r="B665" s="28"/>
      <c r="C665" s="28"/>
      <c r="D665" s="28"/>
      <c r="E665" s="32"/>
      <c r="F665" s="32"/>
      <c r="G665" s="33"/>
      <c r="H665" s="32"/>
      <c r="I665" s="32"/>
      <c r="J665" s="32"/>
      <c r="K665" s="28"/>
      <c r="L665" s="32"/>
      <c r="M665" s="28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>
      <c r="A666" s="28"/>
      <c r="B666" s="28"/>
      <c r="C666" s="28"/>
      <c r="D666" s="28"/>
      <c r="E666" s="32"/>
      <c r="F666" s="32"/>
      <c r="G666" s="33"/>
      <c r="H666" s="32"/>
      <c r="I666" s="32"/>
      <c r="J666" s="32"/>
      <c r="K666" s="28"/>
      <c r="L666" s="32"/>
      <c r="M666" s="28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>
      <c r="A667" s="28"/>
      <c r="B667" s="28"/>
      <c r="C667" s="28"/>
      <c r="D667" s="28"/>
      <c r="E667" s="32"/>
      <c r="F667" s="32"/>
      <c r="G667" s="33"/>
      <c r="H667" s="32"/>
      <c r="I667" s="32"/>
      <c r="J667" s="32"/>
      <c r="K667" s="28"/>
      <c r="L667" s="32"/>
      <c r="M667" s="28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>
      <c r="A668" s="28"/>
      <c r="B668" s="28"/>
      <c r="C668" s="28"/>
      <c r="D668" s="28"/>
      <c r="E668" s="32"/>
      <c r="F668" s="32"/>
      <c r="G668" s="33"/>
      <c r="H668" s="32"/>
      <c r="I668" s="32"/>
      <c r="J668" s="32"/>
      <c r="K668" s="28"/>
      <c r="L668" s="32"/>
      <c r="M668" s="28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>
      <c r="A669" s="28"/>
      <c r="B669" s="28"/>
      <c r="C669" s="28"/>
      <c r="D669" s="28"/>
      <c r="E669" s="32"/>
      <c r="F669" s="32"/>
      <c r="G669" s="33"/>
      <c r="H669" s="32"/>
      <c r="I669" s="32"/>
      <c r="J669" s="32"/>
      <c r="K669" s="28"/>
      <c r="L669" s="32"/>
      <c r="M669" s="28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>
      <c r="A670" s="28"/>
      <c r="B670" s="28"/>
      <c r="C670" s="28"/>
      <c r="D670" s="28"/>
      <c r="E670" s="32"/>
      <c r="F670" s="32"/>
      <c r="G670" s="33"/>
      <c r="H670" s="32"/>
      <c r="I670" s="32"/>
      <c r="J670" s="32"/>
      <c r="K670" s="28"/>
      <c r="L670" s="32"/>
      <c r="M670" s="28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>
      <c r="A671" s="28"/>
      <c r="B671" s="28"/>
      <c r="C671" s="28"/>
      <c r="D671" s="28"/>
      <c r="E671" s="32"/>
      <c r="F671" s="32"/>
      <c r="G671" s="33"/>
      <c r="H671" s="32"/>
      <c r="I671" s="32"/>
      <c r="J671" s="32"/>
      <c r="K671" s="28"/>
      <c r="L671" s="32"/>
      <c r="M671" s="28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>
      <c r="A672" s="28"/>
      <c r="B672" s="28"/>
      <c r="C672" s="28"/>
      <c r="D672" s="28"/>
      <c r="E672" s="32"/>
      <c r="F672" s="32"/>
      <c r="G672" s="33"/>
      <c r="H672" s="32"/>
      <c r="I672" s="32"/>
      <c r="J672" s="32"/>
      <c r="K672" s="28"/>
      <c r="L672" s="32"/>
      <c r="M672" s="28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>
      <c r="A673" s="28"/>
      <c r="B673" s="28"/>
      <c r="C673" s="28"/>
      <c r="D673" s="28"/>
      <c r="E673" s="32"/>
      <c r="F673" s="32"/>
      <c r="G673" s="33"/>
      <c r="H673" s="32"/>
      <c r="I673" s="32"/>
      <c r="J673" s="32"/>
      <c r="K673" s="28"/>
      <c r="L673" s="32"/>
      <c r="M673" s="28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>
      <c r="A674" s="28"/>
      <c r="B674" s="28"/>
      <c r="C674" s="28"/>
      <c r="D674" s="28"/>
      <c r="E674" s="32"/>
      <c r="F674" s="32"/>
      <c r="G674" s="33"/>
      <c r="H674" s="32"/>
      <c r="I674" s="32"/>
      <c r="J674" s="32"/>
      <c r="K674" s="28"/>
      <c r="L674" s="32"/>
      <c r="M674" s="28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>
      <c r="A675" s="28"/>
      <c r="B675" s="28"/>
      <c r="C675" s="28"/>
      <c r="D675" s="28"/>
      <c r="E675" s="32"/>
      <c r="F675" s="32"/>
      <c r="G675" s="33"/>
      <c r="H675" s="32"/>
      <c r="I675" s="32"/>
      <c r="J675" s="32"/>
      <c r="K675" s="28"/>
      <c r="L675" s="32"/>
      <c r="M675" s="28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>
      <c r="A676" s="28"/>
      <c r="B676" s="28"/>
      <c r="C676" s="28"/>
      <c r="D676" s="28"/>
      <c r="E676" s="32"/>
      <c r="F676" s="32"/>
      <c r="G676" s="33"/>
      <c r="H676" s="32"/>
      <c r="I676" s="32"/>
      <c r="J676" s="32"/>
      <c r="K676" s="28"/>
      <c r="L676" s="32"/>
      <c r="M676" s="28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>
      <c r="A677" s="28"/>
      <c r="B677" s="28"/>
      <c r="C677" s="28"/>
      <c r="D677" s="28"/>
      <c r="E677" s="32"/>
      <c r="F677" s="32"/>
      <c r="G677" s="33"/>
      <c r="H677" s="32"/>
      <c r="I677" s="32"/>
      <c r="J677" s="32"/>
      <c r="K677" s="28"/>
      <c r="L677" s="32"/>
      <c r="M677" s="28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>
      <c r="A678" s="28"/>
      <c r="B678" s="28"/>
      <c r="C678" s="28"/>
      <c r="D678" s="28"/>
      <c r="E678" s="32"/>
      <c r="F678" s="32"/>
      <c r="G678" s="33"/>
      <c r="H678" s="32"/>
      <c r="I678" s="32"/>
      <c r="J678" s="32"/>
      <c r="K678" s="28"/>
      <c r="L678" s="32"/>
      <c r="M678" s="28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>
      <c r="A679" s="28"/>
      <c r="B679" s="28"/>
      <c r="C679" s="28"/>
      <c r="D679" s="28"/>
      <c r="E679" s="32"/>
      <c r="F679" s="32"/>
      <c r="G679" s="33"/>
      <c r="H679" s="32"/>
      <c r="I679" s="32"/>
      <c r="J679" s="32"/>
      <c r="K679" s="28"/>
      <c r="L679" s="32"/>
      <c r="M679" s="28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>
      <c r="A680" s="28"/>
      <c r="B680" s="28"/>
      <c r="C680" s="28"/>
      <c r="D680" s="28"/>
      <c r="E680" s="32"/>
      <c r="F680" s="32"/>
      <c r="G680" s="33"/>
      <c r="H680" s="32"/>
      <c r="I680" s="32"/>
      <c r="J680" s="32"/>
      <c r="K680" s="28"/>
      <c r="L680" s="32"/>
      <c r="M680" s="28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>
      <c r="A681" s="28"/>
      <c r="B681" s="28"/>
      <c r="C681" s="28"/>
      <c r="D681" s="28"/>
      <c r="E681" s="32"/>
      <c r="F681" s="32"/>
      <c r="G681" s="33"/>
      <c r="H681" s="32"/>
      <c r="I681" s="32"/>
      <c r="J681" s="32"/>
      <c r="K681" s="28"/>
      <c r="L681" s="32"/>
      <c r="M681" s="28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>
      <c r="A682" s="28"/>
      <c r="B682" s="28"/>
      <c r="C682" s="28"/>
      <c r="D682" s="28"/>
      <c r="E682" s="32"/>
      <c r="F682" s="32"/>
      <c r="G682" s="33"/>
      <c r="H682" s="32"/>
      <c r="I682" s="32"/>
      <c r="J682" s="32"/>
      <c r="K682" s="28"/>
      <c r="L682" s="32"/>
      <c r="M682" s="28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>
      <c r="A683" s="28"/>
      <c r="B683" s="28"/>
      <c r="C683" s="28"/>
      <c r="D683" s="28"/>
      <c r="E683" s="32"/>
      <c r="F683" s="32"/>
      <c r="G683" s="33"/>
      <c r="H683" s="32"/>
      <c r="I683" s="32"/>
      <c r="J683" s="32"/>
      <c r="K683" s="28"/>
      <c r="L683" s="32"/>
      <c r="M683" s="28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>
      <c r="A684" s="28"/>
      <c r="B684" s="28"/>
      <c r="C684" s="28"/>
      <c r="D684" s="28"/>
      <c r="E684" s="32"/>
      <c r="F684" s="32"/>
      <c r="G684" s="33"/>
      <c r="H684" s="32"/>
      <c r="I684" s="32"/>
      <c r="J684" s="32"/>
      <c r="K684" s="28"/>
      <c r="L684" s="32"/>
      <c r="M684" s="28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>
      <c r="A685" s="28"/>
      <c r="B685" s="28"/>
      <c r="C685" s="28"/>
      <c r="D685" s="28"/>
      <c r="E685" s="32"/>
      <c r="F685" s="32"/>
      <c r="G685" s="33"/>
      <c r="H685" s="32"/>
      <c r="I685" s="32"/>
      <c r="J685" s="32"/>
      <c r="K685" s="28"/>
      <c r="L685" s="32"/>
      <c r="M685" s="28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>
      <c r="A686" s="28"/>
      <c r="B686" s="28"/>
      <c r="C686" s="28"/>
      <c r="D686" s="28"/>
      <c r="E686" s="32"/>
      <c r="F686" s="32"/>
      <c r="G686" s="33"/>
      <c r="H686" s="32"/>
      <c r="I686" s="32"/>
      <c r="J686" s="32"/>
      <c r="K686" s="28"/>
      <c r="L686" s="32"/>
      <c r="M686" s="28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>
      <c r="A687" s="28"/>
      <c r="B687" s="28"/>
      <c r="C687" s="28"/>
      <c r="D687" s="28"/>
      <c r="E687" s="32"/>
      <c r="F687" s="32"/>
      <c r="G687" s="33"/>
      <c r="H687" s="32"/>
      <c r="I687" s="32"/>
      <c r="J687" s="32"/>
      <c r="K687" s="28"/>
      <c r="L687" s="32"/>
      <c r="M687" s="28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>
      <c r="A688" s="28"/>
      <c r="B688" s="28"/>
      <c r="C688" s="28"/>
      <c r="D688" s="28"/>
      <c r="E688" s="32"/>
      <c r="F688" s="32"/>
      <c r="G688" s="33"/>
      <c r="H688" s="32"/>
      <c r="I688" s="32"/>
      <c r="J688" s="32"/>
      <c r="K688" s="28"/>
      <c r="L688" s="32"/>
      <c r="M688" s="28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>
      <c r="A689" s="28"/>
      <c r="B689" s="28"/>
      <c r="C689" s="28"/>
      <c r="D689" s="28"/>
      <c r="E689" s="32"/>
      <c r="F689" s="32"/>
      <c r="G689" s="33"/>
      <c r="H689" s="32"/>
      <c r="I689" s="32"/>
      <c r="J689" s="32"/>
      <c r="K689" s="28"/>
      <c r="L689" s="32"/>
      <c r="M689" s="28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>
      <c r="A690" s="28"/>
      <c r="B690" s="28"/>
      <c r="C690" s="28"/>
      <c r="D690" s="28"/>
      <c r="E690" s="32"/>
      <c r="F690" s="32"/>
      <c r="G690" s="33"/>
      <c r="H690" s="32"/>
      <c r="I690" s="32"/>
      <c r="J690" s="32"/>
      <c r="K690" s="28"/>
      <c r="L690" s="32"/>
      <c r="M690" s="28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>
      <c r="A691" s="28"/>
      <c r="B691" s="28"/>
      <c r="C691" s="28"/>
      <c r="D691" s="28"/>
      <c r="E691" s="32"/>
      <c r="F691" s="32"/>
      <c r="G691" s="33"/>
      <c r="H691" s="32"/>
      <c r="I691" s="32"/>
      <c r="J691" s="32"/>
      <c r="K691" s="28"/>
      <c r="L691" s="32"/>
      <c r="M691" s="28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>
      <c r="A692" s="28"/>
      <c r="B692" s="28"/>
      <c r="C692" s="28"/>
      <c r="D692" s="28"/>
      <c r="E692" s="32"/>
      <c r="F692" s="32"/>
      <c r="G692" s="33"/>
      <c r="H692" s="32"/>
      <c r="I692" s="32"/>
      <c r="J692" s="32"/>
      <c r="K692" s="28"/>
      <c r="L692" s="32"/>
      <c r="M692" s="28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>
      <c r="A693" s="28"/>
      <c r="B693" s="28"/>
      <c r="C693" s="28"/>
      <c r="D693" s="28"/>
      <c r="E693" s="32"/>
      <c r="F693" s="32"/>
      <c r="G693" s="33"/>
      <c r="H693" s="32"/>
      <c r="I693" s="32"/>
      <c r="J693" s="32"/>
      <c r="K693" s="28"/>
      <c r="L693" s="32"/>
      <c r="M693" s="28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>
      <c r="A694" s="28"/>
      <c r="B694" s="28"/>
      <c r="C694" s="28"/>
      <c r="D694" s="28"/>
      <c r="E694" s="32"/>
      <c r="F694" s="32"/>
      <c r="G694" s="33"/>
      <c r="H694" s="32"/>
      <c r="I694" s="32"/>
      <c r="J694" s="32"/>
      <c r="K694" s="28"/>
      <c r="L694" s="32"/>
      <c r="M694" s="28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>
      <c r="A695" s="28"/>
      <c r="B695" s="28"/>
      <c r="C695" s="28"/>
      <c r="D695" s="28"/>
      <c r="E695" s="32"/>
      <c r="F695" s="32"/>
      <c r="G695" s="33"/>
      <c r="H695" s="32"/>
      <c r="I695" s="32"/>
      <c r="J695" s="32"/>
      <c r="K695" s="28"/>
      <c r="L695" s="32"/>
      <c r="M695" s="28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>
      <c r="A696" s="28"/>
      <c r="B696" s="28"/>
      <c r="C696" s="28"/>
      <c r="D696" s="28"/>
      <c r="E696" s="32"/>
      <c r="F696" s="32"/>
      <c r="G696" s="33"/>
      <c r="H696" s="32"/>
      <c r="I696" s="32"/>
      <c r="J696" s="32"/>
      <c r="K696" s="28"/>
      <c r="L696" s="32"/>
      <c r="M696" s="28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>
      <c r="A697" s="28"/>
      <c r="B697" s="28"/>
      <c r="C697" s="28"/>
      <c r="D697" s="28"/>
      <c r="E697" s="32"/>
      <c r="F697" s="32"/>
      <c r="G697" s="33"/>
      <c r="H697" s="32"/>
      <c r="I697" s="32"/>
      <c r="J697" s="32"/>
      <c r="K697" s="28"/>
      <c r="L697" s="32"/>
      <c r="M697" s="28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>
      <c r="A698" s="28"/>
      <c r="B698" s="28"/>
      <c r="C698" s="28"/>
      <c r="D698" s="28"/>
      <c r="E698" s="32"/>
      <c r="F698" s="32"/>
      <c r="G698" s="33"/>
      <c r="H698" s="32"/>
      <c r="I698" s="32"/>
      <c r="J698" s="32"/>
      <c r="K698" s="28"/>
      <c r="L698" s="32"/>
      <c r="M698" s="28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>
      <c r="A699" s="28"/>
      <c r="B699" s="28"/>
      <c r="C699" s="28"/>
      <c r="D699" s="28"/>
      <c r="E699" s="32"/>
      <c r="F699" s="32"/>
      <c r="G699" s="33"/>
      <c r="H699" s="32"/>
      <c r="I699" s="32"/>
      <c r="J699" s="32"/>
      <c r="K699" s="28"/>
      <c r="L699" s="32"/>
      <c r="M699" s="28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>
      <c r="A700" s="28"/>
      <c r="B700" s="28"/>
      <c r="C700" s="28"/>
      <c r="D700" s="28"/>
      <c r="E700" s="32"/>
      <c r="F700" s="32"/>
      <c r="G700" s="33"/>
      <c r="H700" s="32"/>
      <c r="I700" s="32"/>
      <c r="J700" s="32"/>
      <c r="K700" s="28"/>
      <c r="L700" s="32"/>
      <c r="M700" s="28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>
      <c r="A701" s="28"/>
      <c r="B701" s="28"/>
      <c r="C701" s="28"/>
      <c r="D701" s="28"/>
      <c r="E701" s="32"/>
      <c r="F701" s="32"/>
      <c r="G701" s="33"/>
      <c r="H701" s="32"/>
      <c r="I701" s="32"/>
      <c r="J701" s="32"/>
      <c r="K701" s="28"/>
      <c r="L701" s="32"/>
      <c r="M701" s="28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>
      <c r="A702" s="28"/>
      <c r="B702" s="28"/>
      <c r="C702" s="28"/>
      <c r="D702" s="28"/>
      <c r="E702" s="32"/>
      <c r="F702" s="32"/>
      <c r="G702" s="33"/>
      <c r="H702" s="32"/>
      <c r="I702" s="32"/>
      <c r="J702" s="32"/>
      <c r="K702" s="28"/>
      <c r="L702" s="32"/>
      <c r="M702" s="28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>
      <c r="A703" s="28"/>
      <c r="B703" s="28"/>
      <c r="C703" s="28"/>
      <c r="D703" s="28"/>
      <c r="E703" s="32"/>
      <c r="F703" s="32"/>
      <c r="G703" s="33"/>
      <c r="H703" s="32"/>
      <c r="I703" s="32"/>
      <c r="J703" s="32"/>
      <c r="K703" s="28"/>
      <c r="L703" s="32"/>
      <c r="M703" s="28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>
      <c r="A704" s="28"/>
      <c r="B704" s="28"/>
      <c r="C704" s="28"/>
      <c r="D704" s="28"/>
      <c r="E704" s="32"/>
      <c r="F704" s="32"/>
      <c r="G704" s="33"/>
      <c r="H704" s="32"/>
      <c r="I704" s="32"/>
      <c r="J704" s="32"/>
      <c r="K704" s="28"/>
      <c r="L704" s="32"/>
      <c r="M704" s="28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>
      <c r="A705" s="28"/>
      <c r="B705" s="28"/>
      <c r="C705" s="28"/>
      <c r="D705" s="28"/>
      <c r="E705" s="32"/>
      <c r="F705" s="32"/>
      <c r="G705" s="33"/>
      <c r="H705" s="32"/>
      <c r="I705" s="32"/>
      <c r="J705" s="32"/>
      <c r="K705" s="28"/>
      <c r="L705" s="32"/>
      <c r="M705" s="28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>
      <c r="A706" s="28"/>
      <c r="B706" s="28"/>
      <c r="C706" s="28"/>
      <c r="D706" s="28"/>
      <c r="E706" s="32"/>
      <c r="F706" s="32"/>
      <c r="G706" s="33"/>
      <c r="H706" s="32"/>
      <c r="I706" s="32"/>
      <c r="J706" s="32"/>
      <c r="K706" s="28"/>
      <c r="L706" s="32"/>
      <c r="M706" s="28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>
      <c r="A707" s="28"/>
      <c r="B707" s="28"/>
      <c r="C707" s="28"/>
      <c r="D707" s="28"/>
      <c r="E707" s="32"/>
      <c r="F707" s="32"/>
      <c r="G707" s="33"/>
      <c r="H707" s="32"/>
      <c r="I707" s="32"/>
      <c r="J707" s="32"/>
      <c r="K707" s="28"/>
      <c r="L707" s="32"/>
      <c r="M707" s="28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>
      <c r="A708" s="28"/>
      <c r="B708" s="28"/>
      <c r="C708" s="28"/>
      <c r="D708" s="28"/>
      <c r="E708" s="32"/>
      <c r="F708" s="32"/>
      <c r="G708" s="33"/>
      <c r="H708" s="32"/>
      <c r="I708" s="32"/>
      <c r="J708" s="32"/>
      <c r="K708" s="28"/>
      <c r="L708" s="32"/>
      <c r="M708" s="28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>
      <c r="A709" s="28"/>
      <c r="B709" s="28"/>
      <c r="C709" s="28"/>
      <c r="D709" s="28"/>
      <c r="E709" s="32"/>
      <c r="F709" s="32"/>
      <c r="G709" s="33"/>
      <c r="H709" s="32"/>
      <c r="I709" s="32"/>
      <c r="J709" s="32"/>
      <c r="K709" s="28"/>
      <c r="L709" s="32"/>
      <c r="M709" s="28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>
      <c r="A710" s="28"/>
      <c r="B710" s="28"/>
      <c r="C710" s="28"/>
      <c r="D710" s="28"/>
      <c r="E710" s="32"/>
      <c r="F710" s="32"/>
      <c r="G710" s="33"/>
      <c r="H710" s="32"/>
      <c r="I710" s="32"/>
      <c r="J710" s="32"/>
      <c r="K710" s="28"/>
      <c r="L710" s="32"/>
      <c r="M710" s="28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>
      <c r="A711" s="28"/>
      <c r="B711" s="28"/>
      <c r="C711" s="28"/>
      <c r="D711" s="28"/>
      <c r="E711" s="32"/>
      <c r="F711" s="32"/>
      <c r="G711" s="33"/>
      <c r="H711" s="32"/>
      <c r="I711" s="32"/>
      <c r="J711" s="32"/>
      <c r="K711" s="28"/>
      <c r="L711" s="32"/>
      <c r="M711" s="28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>
      <c r="A712" s="28"/>
      <c r="B712" s="28"/>
      <c r="C712" s="28"/>
      <c r="D712" s="28"/>
      <c r="E712" s="32"/>
      <c r="F712" s="32"/>
      <c r="G712" s="33"/>
      <c r="H712" s="32"/>
      <c r="I712" s="32"/>
      <c r="J712" s="32"/>
      <c r="K712" s="28"/>
      <c r="L712" s="32"/>
      <c r="M712" s="28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>
      <c r="A713" s="28"/>
      <c r="B713" s="28"/>
      <c r="C713" s="28"/>
      <c r="D713" s="28"/>
      <c r="E713" s="32"/>
      <c r="F713" s="32"/>
      <c r="G713" s="33"/>
      <c r="H713" s="32"/>
      <c r="I713" s="32"/>
      <c r="J713" s="32"/>
      <c r="K713" s="28"/>
      <c r="L713" s="32"/>
      <c r="M713" s="28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>
      <c r="A714" s="28"/>
      <c r="B714" s="28"/>
      <c r="C714" s="28"/>
      <c r="D714" s="28"/>
      <c r="E714" s="32"/>
      <c r="F714" s="32"/>
      <c r="G714" s="33"/>
      <c r="H714" s="32"/>
      <c r="I714" s="32"/>
      <c r="J714" s="32"/>
      <c r="K714" s="28"/>
      <c r="L714" s="32"/>
      <c r="M714" s="28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>
      <c r="A715" s="28"/>
      <c r="B715" s="28"/>
      <c r="C715" s="28"/>
      <c r="D715" s="28"/>
      <c r="E715" s="32"/>
      <c r="F715" s="32"/>
      <c r="G715" s="33"/>
      <c r="H715" s="32"/>
      <c r="I715" s="32"/>
      <c r="J715" s="32"/>
      <c r="K715" s="28"/>
      <c r="L715" s="32"/>
      <c r="M715" s="28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>
      <c r="A716" s="28"/>
      <c r="B716" s="28"/>
      <c r="C716" s="28"/>
      <c r="D716" s="28"/>
      <c r="E716" s="32"/>
      <c r="F716" s="32"/>
      <c r="G716" s="33"/>
      <c r="H716" s="32"/>
      <c r="I716" s="32"/>
      <c r="J716" s="32"/>
      <c r="K716" s="28"/>
      <c r="L716" s="32"/>
      <c r="M716" s="28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>
      <c r="A717" s="28"/>
      <c r="B717" s="28"/>
      <c r="C717" s="28"/>
      <c r="D717" s="28"/>
      <c r="E717" s="32"/>
      <c r="F717" s="32"/>
      <c r="G717" s="33"/>
      <c r="H717" s="32"/>
      <c r="I717" s="32"/>
      <c r="J717" s="32"/>
      <c r="K717" s="28"/>
      <c r="L717" s="32"/>
      <c r="M717" s="28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>
      <c r="A718" s="28"/>
      <c r="B718" s="28"/>
      <c r="C718" s="28"/>
      <c r="D718" s="28"/>
      <c r="E718" s="32"/>
      <c r="F718" s="32"/>
      <c r="G718" s="33"/>
      <c r="H718" s="32"/>
      <c r="I718" s="32"/>
      <c r="J718" s="32"/>
      <c r="K718" s="28"/>
      <c r="L718" s="32"/>
      <c r="M718" s="28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>
      <c r="A719" s="28"/>
      <c r="B719" s="28"/>
      <c r="C719" s="28"/>
      <c r="D719" s="28"/>
      <c r="E719" s="32"/>
      <c r="F719" s="32"/>
      <c r="G719" s="33"/>
      <c r="H719" s="32"/>
      <c r="I719" s="32"/>
      <c r="J719" s="32"/>
      <c r="K719" s="28"/>
      <c r="L719" s="32"/>
      <c r="M719" s="28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>
      <c r="A720" s="28"/>
      <c r="B720" s="28"/>
      <c r="C720" s="28"/>
      <c r="D720" s="28"/>
      <c r="E720" s="32"/>
      <c r="F720" s="32"/>
      <c r="G720" s="33"/>
      <c r="H720" s="32"/>
      <c r="I720" s="32"/>
      <c r="J720" s="32"/>
      <c r="K720" s="28"/>
      <c r="L720" s="32"/>
      <c r="M720" s="28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>
      <c r="A721" s="28"/>
      <c r="B721" s="28"/>
      <c r="C721" s="28"/>
      <c r="D721" s="28"/>
      <c r="E721" s="32"/>
      <c r="F721" s="32"/>
      <c r="G721" s="33"/>
      <c r="H721" s="32"/>
      <c r="I721" s="32"/>
      <c r="J721" s="32"/>
      <c r="K721" s="28"/>
      <c r="L721" s="32"/>
      <c r="M721" s="28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>
      <c r="A722" s="28"/>
      <c r="B722" s="28"/>
      <c r="C722" s="28"/>
      <c r="D722" s="28"/>
      <c r="E722" s="32"/>
      <c r="F722" s="32"/>
      <c r="G722" s="33"/>
      <c r="H722" s="32"/>
      <c r="I722" s="32"/>
      <c r="J722" s="32"/>
      <c r="K722" s="28"/>
      <c r="L722" s="32"/>
      <c r="M722" s="28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>
      <c r="A723" s="28"/>
      <c r="B723" s="28"/>
      <c r="C723" s="28"/>
      <c r="D723" s="28"/>
      <c r="E723" s="32"/>
      <c r="F723" s="32"/>
      <c r="G723" s="33"/>
      <c r="H723" s="32"/>
      <c r="I723" s="32"/>
      <c r="J723" s="32"/>
      <c r="K723" s="28"/>
      <c r="L723" s="32"/>
      <c r="M723" s="28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>
      <c r="A724" s="28"/>
      <c r="B724" s="28"/>
      <c r="C724" s="28"/>
      <c r="D724" s="28"/>
      <c r="E724" s="32"/>
      <c r="F724" s="32"/>
      <c r="G724" s="33"/>
      <c r="H724" s="32"/>
      <c r="I724" s="32"/>
      <c r="J724" s="32"/>
      <c r="K724" s="28"/>
      <c r="L724" s="32"/>
      <c r="M724" s="28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>
      <c r="A725" s="28"/>
      <c r="B725" s="28"/>
      <c r="C725" s="28"/>
      <c r="D725" s="28"/>
      <c r="E725" s="32"/>
      <c r="F725" s="32"/>
      <c r="G725" s="33"/>
      <c r="H725" s="32"/>
      <c r="I725" s="32"/>
      <c r="J725" s="32"/>
      <c r="K725" s="28"/>
      <c r="L725" s="32"/>
      <c r="M725" s="28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>
      <c r="A726" s="28"/>
      <c r="B726" s="28"/>
      <c r="C726" s="28"/>
      <c r="D726" s="28"/>
      <c r="E726" s="32"/>
      <c r="F726" s="32"/>
      <c r="G726" s="33"/>
      <c r="H726" s="32"/>
      <c r="I726" s="32"/>
      <c r="J726" s="32"/>
      <c r="K726" s="28"/>
      <c r="L726" s="32"/>
      <c r="M726" s="28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>
      <c r="A727" s="28"/>
      <c r="B727" s="28"/>
      <c r="C727" s="28"/>
      <c r="D727" s="28"/>
      <c r="E727" s="32"/>
      <c r="F727" s="32"/>
      <c r="G727" s="33"/>
      <c r="H727" s="32"/>
      <c r="I727" s="32"/>
      <c r="J727" s="32"/>
      <c r="K727" s="28"/>
      <c r="L727" s="32"/>
      <c r="M727" s="28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>
      <c r="A728" s="28"/>
      <c r="B728" s="28"/>
      <c r="C728" s="28"/>
      <c r="D728" s="28"/>
      <c r="E728" s="32"/>
      <c r="F728" s="32"/>
      <c r="G728" s="33"/>
      <c r="H728" s="32"/>
      <c r="I728" s="32"/>
      <c r="J728" s="32"/>
      <c r="K728" s="28"/>
      <c r="L728" s="32"/>
      <c r="M728" s="28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>
      <c r="A729" s="28"/>
      <c r="B729" s="28"/>
      <c r="C729" s="28"/>
      <c r="D729" s="28"/>
      <c r="E729" s="32"/>
      <c r="F729" s="32"/>
      <c r="G729" s="33"/>
      <c r="H729" s="32"/>
      <c r="I729" s="32"/>
      <c r="J729" s="32"/>
      <c r="K729" s="28"/>
      <c r="L729" s="32"/>
      <c r="M729" s="28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>
      <c r="A730" s="28"/>
      <c r="B730" s="28"/>
      <c r="C730" s="28"/>
      <c r="D730" s="28"/>
      <c r="E730" s="32"/>
      <c r="F730" s="32"/>
      <c r="G730" s="33"/>
      <c r="H730" s="32"/>
      <c r="I730" s="32"/>
      <c r="J730" s="32"/>
      <c r="K730" s="28"/>
      <c r="L730" s="32"/>
      <c r="M730" s="28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>
      <c r="A731" s="28"/>
      <c r="B731" s="28"/>
      <c r="C731" s="28"/>
      <c r="D731" s="28"/>
      <c r="E731" s="32"/>
      <c r="F731" s="32"/>
      <c r="G731" s="33"/>
      <c r="H731" s="32"/>
      <c r="I731" s="32"/>
      <c r="J731" s="32"/>
      <c r="K731" s="28"/>
      <c r="L731" s="32"/>
      <c r="M731" s="28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>
      <c r="A732" s="28"/>
      <c r="B732" s="28"/>
      <c r="C732" s="28"/>
      <c r="D732" s="28"/>
      <c r="E732" s="32"/>
      <c r="F732" s="32"/>
      <c r="G732" s="33"/>
      <c r="H732" s="32"/>
      <c r="I732" s="32"/>
      <c r="J732" s="32"/>
      <c r="K732" s="28"/>
      <c r="L732" s="32"/>
      <c r="M732" s="28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>
      <c r="A733" s="28"/>
      <c r="B733" s="28"/>
      <c r="C733" s="28"/>
      <c r="D733" s="28"/>
      <c r="E733" s="32"/>
      <c r="F733" s="32"/>
      <c r="G733" s="33"/>
      <c r="H733" s="32"/>
      <c r="I733" s="32"/>
      <c r="J733" s="32"/>
      <c r="K733" s="28"/>
      <c r="L733" s="32"/>
      <c r="M733" s="28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>
      <c r="A734" s="28"/>
      <c r="B734" s="28"/>
      <c r="C734" s="28"/>
      <c r="D734" s="28"/>
      <c r="E734" s="32"/>
      <c r="F734" s="32"/>
      <c r="G734" s="33"/>
      <c r="H734" s="32"/>
      <c r="I734" s="32"/>
      <c r="J734" s="32"/>
      <c r="K734" s="28"/>
      <c r="L734" s="32"/>
      <c r="M734" s="28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>
      <c r="A735" s="28"/>
      <c r="B735" s="28"/>
      <c r="C735" s="28"/>
      <c r="D735" s="28"/>
      <c r="E735" s="32"/>
      <c r="F735" s="32"/>
      <c r="G735" s="33"/>
      <c r="H735" s="32"/>
      <c r="I735" s="32"/>
      <c r="J735" s="32"/>
      <c r="K735" s="28"/>
      <c r="L735" s="32"/>
      <c r="M735" s="28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>
      <c r="A736" s="28"/>
      <c r="B736" s="28"/>
      <c r="C736" s="28"/>
      <c r="D736" s="28"/>
      <c r="E736" s="32"/>
      <c r="F736" s="32"/>
      <c r="G736" s="33"/>
      <c r="H736" s="32"/>
      <c r="I736" s="32"/>
      <c r="J736" s="32"/>
      <c r="K736" s="28"/>
      <c r="L736" s="32"/>
      <c r="M736" s="28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>
      <c r="A737" s="28"/>
      <c r="B737" s="28"/>
      <c r="C737" s="28"/>
      <c r="D737" s="28"/>
      <c r="E737" s="32"/>
      <c r="F737" s="32"/>
      <c r="G737" s="33"/>
      <c r="H737" s="32"/>
      <c r="I737" s="32"/>
      <c r="J737" s="32"/>
      <c r="K737" s="28"/>
      <c r="L737" s="32"/>
      <c r="M737" s="28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>
      <c r="A738" s="28"/>
      <c r="B738" s="28"/>
      <c r="C738" s="28"/>
      <c r="D738" s="28"/>
      <c r="E738" s="32"/>
      <c r="F738" s="32"/>
      <c r="G738" s="33"/>
      <c r="H738" s="32"/>
      <c r="I738" s="32"/>
      <c r="J738" s="32"/>
      <c r="K738" s="28"/>
      <c r="L738" s="32"/>
      <c r="M738" s="28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>
      <c r="A739" s="28"/>
      <c r="B739" s="28"/>
      <c r="C739" s="28"/>
      <c r="D739" s="28"/>
      <c r="E739" s="32"/>
      <c r="F739" s="32"/>
      <c r="G739" s="33"/>
      <c r="H739" s="32"/>
      <c r="I739" s="32"/>
      <c r="J739" s="32"/>
      <c r="K739" s="28"/>
      <c r="L739" s="32"/>
      <c r="M739" s="28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>
      <c r="A740" s="28"/>
      <c r="B740" s="28"/>
      <c r="C740" s="28"/>
      <c r="D740" s="28"/>
      <c r="E740" s="32"/>
      <c r="F740" s="32"/>
      <c r="G740" s="33"/>
      <c r="H740" s="32"/>
      <c r="I740" s="32"/>
      <c r="J740" s="32"/>
      <c r="K740" s="28"/>
      <c r="L740" s="32"/>
      <c r="M740" s="28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>
      <c r="A741" s="28"/>
      <c r="B741" s="28"/>
      <c r="C741" s="28"/>
      <c r="D741" s="28"/>
      <c r="E741" s="32"/>
      <c r="F741" s="32"/>
      <c r="G741" s="33"/>
      <c r="H741" s="32"/>
      <c r="I741" s="32"/>
      <c r="J741" s="32"/>
      <c r="K741" s="28"/>
      <c r="L741" s="32"/>
      <c r="M741" s="28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>
      <c r="A742" s="28"/>
      <c r="B742" s="28"/>
      <c r="C742" s="28"/>
      <c r="D742" s="28"/>
      <c r="E742" s="32"/>
      <c r="F742" s="32"/>
      <c r="G742" s="33"/>
      <c r="H742" s="32"/>
      <c r="I742" s="32"/>
      <c r="J742" s="32"/>
      <c r="K742" s="28"/>
      <c r="L742" s="32"/>
      <c r="M742" s="28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>
      <c r="A743" s="28"/>
      <c r="B743" s="28"/>
      <c r="C743" s="28"/>
      <c r="D743" s="28"/>
      <c r="E743" s="32"/>
      <c r="F743" s="32"/>
      <c r="G743" s="33"/>
      <c r="H743" s="32"/>
      <c r="I743" s="32"/>
      <c r="J743" s="32"/>
      <c r="K743" s="28"/>
      <c r="L743" s="32"/>
      <c r="M743" s="28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>
      <c r="A744" s="28"/>
      <c r="B744" s="28"/>
      <c r="C744" s="28"/>
      <c r="D744" s="28"/>
      <c r="E744" s="32"/>
      <c r="F744" s="32"/>
      <c r="G744" s="33"/>
      <c r="H744" s="32"/>
      <c r="I744" s="32"/>
      <c r="J744" s="32"/>
      <c r="K744" s="28"/>
      <c r="L744" s="32"/>
      <c r="M744" s="28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>
      <c r="A745" s="28"/>
      <c r="B745" s="28"/>
      <c r="C745" s="28"/>
      <c r="D745" s="28"/>
      <c r="E745" s="32"/>
      <c r="F745" s="32"/>
      <c r="G745" s="33"/>
      <c r="H745" s="32"/>
      <c r="I745" s="32"/>
      <c r="J745" s="32"/>
      <c r="K745" s="28"/>
      <c r="L745" s="32"/>
      <c r="M745" s="28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>
      <c r="A746" s="28"/>
      <c r="B746" s="28"/>
      <c r="C746" s="28"/>
      <c r="D746" s="28"/>
      <c r="E746" s="32"/>
      <c r="F746" s="32"/>
      <c r="G746" s="33"/>
      <c r="H746" s="32"/>
      <c r="I746" s="32"/>
      <c r="J746" s="32"/>
      <c r="K746" s="28"/>
      <c r="L746" s="32"/>
      <c r="M746" s="28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>
      <c r="A747" s="28"/>
      <c r="B747" s="28"/>
      <c r="C747" s="28"/>
      <c r="D747" s="28"/>
      <c r="E747" s="32"/>
      <c r="F747" s="32"/>
      <c r="G747" s="33"/>
      <c r="H747" s="32"/>
      <c r="I747" s="32"/>
      <c r="J747" s="32"/>
      <c r="K747" s="28"/>
      <c r="L747" s="32"/>
      <c r="M747" s="28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>
      <c r="A748" s="28"/>
      <c r="B748" s="28"/>
      <c r="C748" s="28"/>
      <c r="D748" s="28"/>
      <c r="E748" s="32"/>
      <c r="F748" s="32"/>
      <c r="G748" s="33"/>
      <c r="H748" s="32"/>
      <c r="I748" s="32"/>
      <c r="J748" s="32"/>
      <c r="K748" s="28"/>
      <c r="L748" s="32"/>
      <c r="M748" s="28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>
      <c r="A749" s="28"/>
      <c r="B749" s="28"/>
      <c r="C749" s="28"/>
      <c r="D749" s="28"/>
      <c r="E749" s="32"/>
      <c r="F749" s="32"/>
      <c r="G749" s="33"/>
      <c r="H749" s="32"/>
      <c r="I749" s="32"/>
      <c r="J749" s="32"/>
      <c r="K749" s="28"/>
      <c r="L749" s="32"/>
      <c r="M749" s="28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>
      <c r="A750" s="28"/>
      <c r="B750" s="28"/>
      <c r="C750" s="28"/>
      <c r="D750" s="28"/>
      <c r="E750" s="32"/>
      <c r="F750" s="32"/>
      <c r="G750" s="33"/>
      <c r="H750" s="32"/>
      <c r="I750" s="32"/>
      <c r="J750" s="32"/>
      <c r="K750" s="28"/>
      <c r="L750" s="32"/>
      <c r="M750" s="28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>
      <c r="A751" s="28"/>
      <c r="B751" s="28"/>
      <c r="C751" s="28"/>
      <c r="D751" s="28"/>
      <c r="E751" s="32"/>
      <c r="F751" s="32"/>
      <c r="G751" s="33"/>
      <c r="H751" s="32"/>
      <c r="I751" s="32"/>
      <c r="J751" s="32"/>
      <c r="K751" s="28"/>
      <c r="L751" s="32"/>
      <c r="M751" s="28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>
      <c r="A752" s="28"/>
      <c r="B752" s="28"/>
      <c r="C752" s="28"/>
      <c r="D752" s="28"/>
      <c r="E752" s="32"/>
      <c r="F752" s="32"/>
      <c r="G752" s="33"/>
      <c r="H752" s="32"/>
      <c r="I752" s="32"/>
      <c r="J752" s="32"/>
      <c r="K752" s="28"/>
      <c r="L752" s="32"/>
      <c r="M752" s="28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>
      <c r="A753" s="28"/>
      <c r="B753" s="28"/>
      <c r="C753" s="28"/>
      <c r="D753" s="28"/>
      <c r="E753" s="32"/>
      <c r="F753" s="32"/>
      <c r="G753" s="33"/>
      <c r="H753" s="32"/>
      <c r="I753" s="32"/>
      <c r="J753" s="32"/>
      <c r="K753" s="28"/>
      <c r="L753" s="32"/>
      <c r="M753" s="28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>
      <c r="A754" s="28"/>
      <c r="B754" s="28"/>
      <c r="C754" s="28"/>
      <c r="D754" s="28"/>
      <c r="E754" s="32"/>
      <c r="F754" s="32"/>
      <c r="G754" s="33"/>
      <c r="H754" s="32"/>
      <c r="I754" s="32"/>
      <c r="J754" s="32"/>
      <c r="K754" s="28"/>
      <c r="L754" s="32"/>
      <c r="M754" s="28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>
      <c r="A755" s="28"/>
      <c r="B755" s="28"/>
      <c r="C755" s="28"/>
      <c r="D755" s="28"/>
      <c r="E755" s="32"/>
      <c r="F755" s="32"/>
      <c r="G755" s="33"/>
      <c r="H755" s="32"/>
      <c r="I755" s="32"/>
      <c r="J755" s="32"/>
      <c r="K755" s="28"/>
      <c r="L755" s="32"/>
      <c r="M755" s="28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>
      <c r="A756" s="28"/>
      <c r="B756" s="28"/>
      <c r="C756" s="28"/>
      <c r="D756" s="28"/>
      <c r="E756" s="32"/>
      <c r="F756" s="32"/>
      <c r="G756" s="33"/>
      <c r="H756" s="32"/>
      <c r="I756" s="32"/>
      <c r="J756" s="32"/>
      <c r="K756" s="28"/>
      <c r="L756" s="32"/>
      <c r="M756" s="28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>
      <c r="A757" s="28"/>
      <c r="B757" s="28"/>
      <c r="C757" s="28"/>
      <c r="D757" s="28"/>
      <c r="E757" s="32"/>
      <c r="F757" s="32"/>
      <c r="G757" s="33"/>
      <c r="H757" s="32"/>
      <c r="I757" s="32"/>
      <c r="J757" s="32"/>
      <c r="K757" s="28"/>
      <c r="L757" s="32"/>
      <c r="M757" s="28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>
      <c r="A758" s="28"/>
      <c r="B758" s="28"/>
      <c r="C758" s="28"/>
      <c r="D758" s="28"/>
      <c r="E758" s="32"/>
      <c r="F758" s="32"/>
      <c r="G758" s="33"/>
      <c r="H758" s="32"/>
      <c r="I758" s="32"/>
      <c r="J758" s="32"/>
      <c r="K758" s="28"/>
      <c r="L758" s="32"/>
      <c r="M758" s="28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>
      <c r="A759" s="28"/>
      <c r="B759" s="28"/>
      <c r="C759" s="28"/>
      <c r="D759" s="28"/>
      <c r="E759" s="32"/>
      <c r="F759" s="32"/>
      <c r="G759" s="33"/>
      <c r="H759" s="32"/>
      <c r="I759" s="32"/>
      <c r="J759" s="32"/>
      <c r="K759" s="28"/>
      <c r="L759" s="32"/>
      <c r="M759" s="28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>
      <c r="A760" s="28"/>
      <c r="B760" s="28"/>
      <c r="C760" s="28"/>
      <c r="D760" s="28"/>
      <c r="E760" s="32"/>
      <c r="F760" s="32"/>
      <c r="G760" s="33"/>
      <c r="H760" s="32"/>
      <c r="I760" s="32"/>
      <c r="J760" s="32"/>
      <c r="K760" s="28"/>
      <c r="L760" s="32"/>
      <c r="M760" s="28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>
      <c r="A761" s="28"/>
      <c r="B761" s="28"/>
      <c r="C761" s="28"/>
      <c r="D761" s="28"/>
      <c r="E761" s="32"/>
      <c r="F761" s="32"/>
      <c r="G761" s="33"/>
      <c r="H761" s="32"/>
      <c r="I761" s="32"/>
      <c r="J761" s="32"/>
      <c r="K761" s="28"/>
      <c r="L761" s="32"/>
      <c r="M761" s="28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>
      <c r="A762" s="28"/>
      <c r="B762" s="28"/>
      <c r="C762" s="28"/>
      <c r="D762" s="28"/>
      <c r="E762" s="32"/>
      <c r="F762" s="32"/>
      <c r="G762" s="33"/>
      <c r="H762" s="32"/>
      <c r="I762" s="32"/>
      <c r="J762" s="32"/>
      <c r="K762" s="28"/>
      <c r="L762" s="32"/>
      <c r="M762" s="28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>
      <c r="A763" s="28"/>
      <c r="B763" s="28"/>
      <c r="C763" s="28"/>
      <c r="D763" s="28"/>
      <c r="E763" s="32"/>
      <c r="F763" s="32"/>
      <c r="G763" s="33"/>
      <c r="H763" s="32"/>
      <c r="I763" s="32"/>
      <c r="J763" s="32"/>
      <c r="K763" s="28"/>
      <c r="L763" s="32"/>
      <c r="M763" s="28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>
      <c r="A764" s="28"/>
      <c r="B764" s="28"/>
      <c r="C764" s="28"/>
      <c r="D764" s="28"/>
      <c r="E764" s="32"/>
      <c r="F764" s="32"/>
      <c r="G764" s="33"/>
      <c r="H764" s="32"/>
      <c r="I764" s="32"/>
      <c r="J764" s="32"/>
      <c r="K764" s="28"/>
      <c r="L764" s="32"/>
      <c r="M764" s="28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>
      <c r="A765" s="28"/>
      <c r="B765" s="28"/>
      <c r="C765" s="28"/>
      <c r="D765" s="28"/>
      <c r="E765" s="32"/>
      <c r="F765" s="32"/>
      <c r="G765" s="33"/>
      <c r="H765" s="32"/>
      <c r="I765" s="32"/>
      <c r="J765" s="32"/>
      <c r="K765" s="28"/>
      <c r="L765" s="32"/>
      <c r="M765" s="28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>
      <c r="A766" s="28"/>
      <c r="B766" s="28"/>
      <c r="C766" s="28"/>
      <c r="D766" s="28"/>
      <c r="E766" s="32"/>
      <c r="F766" s="32"/>
      <c r="G766" s="33"/>
      <c r="H766" s="32"/>
      <c r="I766" s="32"/>
      <c r="J766" s="32"/>
      <c r="K766" s="28"/>
      <c r="L766" s="32"/>
      <c r="M766" s="28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>
      <c r="A767" s="28"/>
      <c r="B767" s="28"/>
      <c r="C767" s="28"/>
      <c r="D767" s="28"/>
      <c r="E767" s="32"/>
      <c r="F767" s="32"/>
      <c r="G767" s="33"/>
      <c r="H767" s="32"/>
      <c r="I767" s="32"/>
      <c r="J767" s="32"/>
      <c r="K767" s="28"/>
      <c r="L767" s="32"/>
      <c r="M767" s="28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>
      <c r="A768" s="28"/>
      <c r="B768" s="28"/>
      <c r="C768" s="28"/>
      <c r="D768" s="28"/>
      <c r="E768" s="32"/>
      <c r="F768" s="32"/>
      <c r="G768" s="33"/>
      <c r="H768" s="32"/>
      <c r="I768" s="32"/>
      <c r="J768" s="32"/>
      <c r="K768" s="28"/>
      <c r="L768" s="32"/>
      <c r="M768" s="28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>
      <c r="A769" s="28"/>
      <c r="B769" s="28"/>
      <c r="C769" s="28"/>
      <c r="D769" s="28"/>
      <c r="E769" s="32"/>
      <c r="F769" s="32"/>
      <c r="G769" s="33"/>
      <c r="H769" s="32"/>
      <c r="I769" s="32"/>
      <c r="J769" s="32"/>
      <c r="K769" s="28"/>
      <c r="L769" s="32"/>
      <c r="M769" s="28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>
      <c r="A770" s="28"/>
      <c r="B770" s="28"/>
      <c r="C770" s="28"/>
      <c r="D770" s="28"/>
      <c r="E770" s="32"/>
      <c r="F770" s="32"/>
      <c r="G770" s="33"/>
      <c r="H770" s="32"/>
      <c r="I770" s="32"/>
      <c r="J770" s="32"/>
      <c r="K770" s="28"/>
      <c r="L770" s="32"/>
      <c r="M770" s="28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>
      <c r="A771" s="28"/>
      <c r="B771" s="28"/>
      <c r="C771" s="28"/>
      <c r="D771" s="28"/>
      <c r="E771" s="32"/>
      <c r="F771" s="32"/>
      <c r="G771" s="33"/>
      <c r="H771" s="32"/>
      <c r="I771" s="32"/>
      <c r="J771" s="32"/>
      <c r="K771" s="28"/>
      <c r="L771" s="32"/>
      <c r="M771" s="28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>
      <c r="A772" s="28"/>
      <c r="B772" s="28"/>
      <c r="C772" s="28"/>
      <c r="D772" s="28"/>
      <c r="E772" s="32"/>
      <c r="F772" s="32"/>
      <c r="G772" s="33"/>
      <c r="H772" s="32"/>
      <c r="I772" s="32"/>
      <c r="J772" s="32"/>
      <c r="K772" s="28"/>
      <c r="L772" s="32"/>
      <c r="M772" s="28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>
      <c r="A773" s="28"/>
      <c r="B773" s="28"/>
      <c r="C773" s="28"/>
      <c r="D773" s="28"/>
      <c r="E773" s="32"/>
      <c r="F773" s="32"/>
      <c r="G773" s="33"/>
      <c r="H773" s="32"/>
      <c r="I773" s="32"/>
      <c r="J773" s="32"/>
      <c r="K773" s="28"/>
      <c r="L773" s="32"/>
      <c r="M773" s="28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>
      <c r="A774" s="28"/>
      <c r="B774" s="28"/>
      <c r="C774" s="28"/>
      <c r="D774" s="28"/>
      <c r="E774" s="32"/>
      <c r="F774" s="32"/>
      <c r="G774" s="33"/>
      <c r="H774" s="32"/>
      <c r="I774" s="32"/>
      <c r="J774" s="32"/>
      <c r="K774" s="28"/>
      <c r="L774" s="32"/>
      <c r="M774" s="28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>
      <c r="A775" s="28"/>
      <c r="B775" s="28"/>
      <c r="C775" s="28"/>
      <c r="D775" s="28"/>
      <c r="E775" s="32"/>
      <c r="F775" s="32"/>
      <c r="G775" s="33"/>
      <c r="H775" s="32"/>
      <c r="I775" s="32"/>
      <c r="J775" s="32"/>
      <c r="K775" s="28"/>
      <c r="L775" s="32"/>
      <c r="M775" s="28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>
      <c r="A776" s="28"/>
      <c r="B776" s="28"/>
      <c r="C776" s="28"/>
      <c r="D776" s="28"/>
      <c r="E776" s="32"/>
      <c r="F776" s="32"/>
      <c r="G776" s="33"/>
      <c r="H776" s="32"/>
      <c r="I776" s="32"/>
      <c r="J776" s="32"/>
      <c r="K776" s="28"/>
      <c r="L776" s="32"/>
      <c r="M776" s="28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>
      <c r="A777" s="28"/>
      <c r="B777" s="28"/>
      <c r="C777" s="28"/>
      <c r="D777" s="28"/>
      <c r="E777" s="32"/>
      <c r="F777" s="32"/>
      <c r="G777" s="33"/>
      <c r="H777" s="32"/>
      <c r="I777" s="32"/>
      <c r="J777" s="32"/>
      <c r="K777" s="28"/>
      <c r="L777" s="32"/>
      <c r="M777" s="28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>
      <c r="A778" s="28"/>
      <c r="B778" s="28"/>
      <c r="C778" s="28"/>
      <c r="D778" s="28"/>
      <c r="E778" s="32"/>
      <c r="F778" s="32"/>
      <c r="G778" s="33"/>
      <c r="H778" s="32"/>
      <c r="I778" s="32"/>
      <c r="J778" s="32"/>
      <c r="K778" s="28"/>
      <c r="L778" s="32"/>
      <c r="M778" s="28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>
      <c r="A779" s="28"/>
      <c r="B779" s="28"/>
      <c r="C779" s="28"/>
      <c r="D779" s="28"/>
      <c r="E779" s="32"/>
      <c r="F779" s="32"/>
      <c r="G779" s="33"/>
      <c r="H779" s="32"/>
      <c r="I779" s="32"/>
      <c r="J779" s="32"/>
      <c r="K779" s="28"/>
      <c r="L779" s="32"/>
      <c r="M779" s="28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>
      <c r="A780" s="28"/>
      <c r="B780" s="28"/>
      <c r="C780" s="28"/>
      <c r="D780" s="28"/>
      <c r="E780" s="32"/>
      <c r="F780" s="32"/>
      <c r="G780" s="33"/>
      <c r="H780" s="32"/>
      <c r="I780" s="32"/>
      <c r="J780" s="32"/>
      <c r="K780" s="28"/>
      <c r="L780" s="32"/>
      <c r="M780" s="28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>
      <c r="A781" s="28"/>
      <c r="B781" s="28"/>
      <c r="C781" s="28"/>
      <c r="D781" s="28"/>
      <c r="E781" s="32"/>
      <c r="F781" s="32"/>
      <c r="G781" s="33"/>
      <c r="H781" s="32"/>
      <c r="I781" s="32"/>
      <c r="J781" s="32"/>
      <c r="K781" s="28"/>
      <c r="L781" s="32"/>
      <c r="M781" s="28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>
      <c r="A782" s="28"/>
      <c r="B782" s="28"/>
      <c r="C782" s="28"/>
      <c r="D782" s="28"/>
      <c r="E782" s="32"/>
      <c r="F782" s="32"/>
      <c r="G782" s="33"/>
      <c r="H782" s="32"/>
      <c r="I782" s="32"/>
      <c r="J782" s="32"/>
      <c r="K782" s="28"/>
      <c r="L782" s="32"/>
      <c r="M782" s="28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>
      <c r="A783" s="28"/>
      <c r="B783" s="28"/>
      <c r="C783" s="28"/>
      <c r="D783" s="28"/>
      <c r="E783" s="32"/>
      <c r="F783" s="32"/>
      <c r="G783" s="33"/>
      <c r="H783" s="32"/>
      <c r="I783" s="32"/>
      <c r="J783" s="32"/>
      <c r="K783" s="28"/>
      <c r="L783" s="32"/>
      <c r="M783" s="28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>
      <c r="A784" s="28"/>
      <c r="B784" s="28"/>
      <c r="C784" s="28"/>
      <c r="D784" s="28"/>
      <c r="E784" s="32"/>
      <c r="F784" s="32"/>
      <c r="G784" s="33"/>
      <c r="H784" s="32"/>
      <c r="I784" s="32"/>
      <c r="J784" s="32"/>
      <c r="K784" s="28"/>
      <c r="L784" s="32"/>
      <c r="M784" s="28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>
      <c r="A785" s="28"/>
      <c r="B785" s="28"/>
      <c r="C785" s="28"/>
      <c r="D785" s="28"/>
      <c r="E785" s="32"/>
      <c r="F785" s="32"/>
      <c r="G785" s="33"/>
      <c r="H785" s="32"/>
      <c r="I785" s="32"/>
      <c r="J785" s="32"/>
      <c r="K785" s="28"/>
      <c r="L785" s="32"/>
      <c r="M785" s="28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>
      <c r="A786" s="28"/>
      <c r="B786" s="28"/>
      <c r="C786" s="28"/>
      <c r="D786" s="28"/>
      <c r="E786" s="32"/>
      <c r="F786" s="32"/>
      <c r="G786" s="33"/>
      <c r="H786" s="32"/>
      <c r="I786" s="32"/>
      <c r="J786" s="32"/>
      <c r="K786" s="28"/>
      <c r="L786" s="32"/>
      <c r="M786" s="28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>
      <c r="A787" s="28"/>
      <c r="B787" s="28"/>
      <c r="C787" s="28"/>
      <c r="D787" s="28"/>
      <c r="E787" s="32"/>
      <c r="F787" s="32"/>
      <c r="G787" s="33"/>
      <c r="H787" s="32"/>
      <c r="I787" s="32"/>
      <c r="J787" s="32"/>
      <c r="K787" s="28"/>
      <c r="L787" s="32"/>
      <c r="M787" s="28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>
      <c r="A788" s="28"/>
      <c r="B788" s="28"/>
      <c r="C788" s="28"/>
      <c r="D788" s="28"/>
      <c r="E788" s="32"/>
      <c r="F788" s="32"/>
      <c r="G788" s="33"/>
      <c r="H788" s="32"/>
      <c r="I788" s="32"/>
      <c r="J788" s="32"/>
      <c r="K788" s="28"/>
      <c r="L788" s="32"/>
      <c r="M788" s="28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>
      <c r="A789" s="28"/>
      <c r="B789" s="28"/>
      <c r="C789" s="28"/>
      <c r="D789" s="28"/>
      <c r="E789" s="32"/>
      <c r="F789" s="32"/>
      <c r="G789" s="33"/>
      <c r="H789" s="32"/>
      <c r="I789" s="32"/>
      <c r="J789" s="32"/>
      <c r="K789" s="28"/>
      <c r="L789" s="32"/>
      <c r="M789" s="28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>
      <c r="A790" s="28"/>
      <c r="B790" s="28"/>
      <c r="C790" s="28"/>
      <c r="D790" s="28"/>
      <c r="E790" s="32"/>
      <c r="F790" s="32"/>
      <c r="G790" s="33"/>
      <c r="H790" s="32"/>
      <c r="I790" s="32"/>
      <c r="J790" s="32"/>
      <c r="K790" s="28"/>
      <c r="L790" s="32"/>
      <c r="M790" s="28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>
      <c r="A791" s="28"/>
      <c r="B791" s="28"/>
      <c r="C791" s="28"/>
      <c r="D791" s="28"/>
      <c r="E791" s="32"/>
      <c r="F791" s="32"/>
      <c r="G791" s="33"/>
      <c r="H791" s="32"/>
      <c r="I791" s="32"/>
      <c r="J791" s="32"/>
      <c r="K791" s="28"/>
      <c r="L791" s="32"/>
      <c r="M791" s="28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>
      <c r="A792" s="28"/>
      <c r="B792" s="28"/>
      <c r="C792" s="28"/>
      <c r="D792" s="28"/>
      <c r="E792" s="32"/>
      <c r="F792" s="32"/>
      <c r="G792" s="33"/>
      <c r="H792" s="32"/>
      <c r="I792" s="32"/>
      <c r="J792" s="32"/>
      <c r="K792" s="28"/>
      <c r="L792" s="32"/>
      <c r="M792" s="28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>
      <c r="A793" s="28"/>
      <c r="B793" s="28"/>
      <c r="C793" s="28"/>
      <c r="D793" s="28"/>
      <c r="E793" s="32"/>
      <c r="F793" s="32"/>
      <c r="G793" s="33"/>
      <c r="H793" s="32"/>
      <c r="I793" s="32"/>
      <c r="J793" s="32"/>
      <c r="K793" s="28"/>
      <c r="L793" s="32"/>
      <c r="M793" s="28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>
      <c r="A794" s="28"/>
      <c r="B794" s="28"/>
      <c r="C794" s="28"/>
      <c r="D794" s="28"/>
      <c r="E794" s="32"/>
      <c r="F794" s="32"/>
      <c r="G794" s="33"/>
      <c r="H794" s="32"/>
      <c r="I794" s="32"/>
      <c r="J794" s="32"/>
      <c r="K794" s="28"/>
      <c r="L794" s="32"/>
      <c r="M794" s="28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>
      <c r="A795" s="28"/>
      <c r="B795" s="28"/>
      <c r="C795" s="28"/>
      <c r="D795" s="28"/>
      <c r="E795" s="32"/>
      <c r="F795" s="32"/>
      <c r="G795" s="33"/>
      <c r="H795" s="32"/>
      <c r="I795" s="32"/>
      <c r="J795" s="32"/>
      <c r="K795" s="28"/>
      <c r="L795" s="32"/>
      <c r="M795" s="28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>
      <c r="A796" s="28"/>
      <c r="B796" s="28"/>
      <c r="C796" s="28"/>
      <c r="D796" s="28"/>
      <c r="E796" s="32"/>
      <c r="F796" s="32"/>
      <c r="G796" s="33"/>
      <c r="H796" s="32"/>
      <c r="I796" s="32"/>
      <c r="J796" s="32"/>
      <c r="K796" s="28"/>
      <c r="L796" s="32"/>
      <c r="M796" s="28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>
      <c r="A797" s="28"/>
      <c r="B797" s="28"/>
      <c r="C797" s="28"/>
      <c r="D797" s="28"/>
      <c r="E797" s="32"/>
      <c r="F797" s="32"/>
      <c r="G797" s="33"/>
      <c r="H797" s="32"/>
      <c r="I797" s="32"/>
      <c r="J797" s="32"/>
      <c r="K797" s="28"/>
      <c r="L797" s="32"/>
      <c r="M797" s="28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>
      <c r="A798" s="28"/>
      <c r="B798" s="28"/>
      <c r="C798" s="28"/>
      <c r="D798" s="28"/>
      <c r="E798" s="32"/>
      <c r="F798" s="32"/>
      <c r="G798" s="33"/>
      <c r="H798" s="32"/>
      <c r="I798" s="32"/>
      <c r="J798" s="32"/>
      <c r="K798" s="28"/>
      <c r="L798" s="32"/>
      <c r="M798" s="28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>
      <c r="A799" s="28"/>
      <c r="B799" s="28"/>
      <c r="C799" s="28"/>
      <c r="D799" s="28"/>
      <c r="E799" s="32"/>
      <c r="F799" s="32"/>
      <c r="G799" s="33"/>
      <c r="H799" s="32"/>
      <c r="I799" s="32"/>
      <c r="J799" s="32"/>
      <c r="K799" s="28"/>
      <c r="L799" s="32"/>
      <c r="M799" s="28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>
      <c r="A800" s="28"/>
      <c r="B800" s="28"/>
      <c r="C800" s="28"/>
      <c r="D800" s="28"/>
      <c r="E800" s="32"/>
      <c r="F800" s="32"/>
      <c r="G800" s="33"/>
      <c r="H800" s="32"/>
      <c r="I800" s="32"/>
      <c r="J800" s="32"/>
      <c r="K800" s="28"/>
      <c r="L800" s="32"/>
      <c r="M800" s="28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>
      <c r="A801" s="28"/>
      <c r="B801" s="28"/>
      <c r="C801" s="28"/>
      <c r="D801" s="28"/>
      <c r="E801" s="32"/>
      <c r="F801" s="32"/>
      <c r="G801" s="33"/>
      <c r="H801" s="32"/>
      <c r="I801" s="32"/>
      <c r="J801" s="32"/>
      <c r="K801" s="28"/>
      <c r="L801" s="32"/>
      <c r="M801" s="28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>
      <c r="A802" s="28"/>
      <c r="B802" s="28"/>
      <c r="C802" s="28"/>
      <c r="D802" s="28"/>
      <c r="E802" s="32"/>
      <c r="F802" s="32"/>
      <c r="G802" s="33"/>
      <c r="H802" s="32"/>
      <c r="I802" s="32"/>
      <c r="J802" s="32"/>
      <c r="K802" s="28"/>
      <c r="L802" s="32"/>
      <c r="M802" s="28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>
      <c r="A803" s="28"/>
      <c r="B803" s="28"/>
      <c r="C803" s="28"/>
      <c r="D803" s="28"/>
      <c r="E803" s="32"/>
      <c r="F803" s="32"/>
      <c r="G803" s="33"/>
      <c r="H803" s="32"/>
      <c r="I803" s="32"/>
      <c r="J803" s="32"/>
      <c r="K803" s="28"/>
      <c r="L803" s="32"/>
      <c r="M803" s="28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>
      <c r="A804" s="28"/>
      <c r="B804" s="28"/>
      <c r="C804" s="28"/>
      <c r="D804" s="28"/>
      <c r="E804" s="32"/>
      <c r="F804" s="32"/>
      <c r="G804" s="33"/>
      <c r="H804" s="32"/>
      <c r="I804" s="32"/>
      <c r="J804" s="32"/>
      <c r="K804" s="28"/>
      <c r="L804" s="32"/>
      <c r="M804" s="28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>
      <c r="A805" s="28"/>
      <c r="B805" s="28"/>
      <c r="C805" s="28"/>
      <c r="D805" s="28"/>
      <c r="E805" s="32"/>
      <c r="F805" s="32"/>
      <c r="G805" s="33"/>
      <c r="H805" s="32"/>
      <c r="I805" s="32"/>
      <c r="J805" s="32"/>
      <c r="K805" s="28"/>
      <c r="L805" s="32"/>
      <c r="M805" s="28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>
      <c r="A806" s="28"/>
      <c r="B806" s="28"/>
      <c r="C806" s="28"/>
      <c r="D806" s="28"/>
      <c r="E806" s="32"/>
      <c r="F806" s="32"/>
      <c r="G806" s="33"/>
      <c r="H806" s="32"/>
      <c r="I806" s="32"/>
      <c r="J806" s="32"/>
      <c r="K806" s="28"/>
      <c r="L806" s="32"/>
      <c r="M806" s="28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>
      <c r="A807" s="28"/>
      <c r="B807" s="28"/>
      <c r="C807" s="28"/>
      <c r="D807" s="28"/>
      <c r="E807" s="32"/>
      <c r="F807" s="32"/>
      <c r="G807" s="33"/>
      <c r="H807" s="32"/>
      <c r="I807" s="32"/>
      <c r="J807" s="32"/>
      <c r="K807" s="28"/>
      <c r="L807" s="32"/>
      <c r="M807" s="28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>
      <c r="A808" s="28"/>
      <c r="B808" s="28"/>
      <c r="C808" s="28"/>
      <c r="D808" s="28"/>
      <c r="E808" s="32"/>
      <c r="F808" s="32"/>
      <c r="G808" s="33"/>
      <c r="H808" s="32"/>
      <c r="I808" s="32"/>
      <c r="J808" s="32"/>
      <c r="K808" s="28"/>
      <c r="L808" s="32"/>
      <c r="M808" s="28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>
      <c r="A809" s="28"/>
      <c r="B809" s="28"/>
      <c r="C809" s="28"/>
      <c r="D809" s="28"/>
      <c r="E809" s="32"/>
      <c r="F809" s="32"/>
      <c r="G809" s="33"/>
      <c r="H809" s="32"/>
      <c r="I809" s="32"/>
      <c r="J809" s="32"/>
      <c r="K809" s="28"/>
      <c r="L809" s="32"/>
      <c r="M809" s="28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>
      <c r="A810" s="28"/>
      <c r="B810" s="28"/>
      <c r="C810" s="28"/>
      <c r="D810" s="28"/>
      <c r="E810" s="32"/>
      <c r="F810" s="32"/>
      <c r="G810" s="33"/>
      <c r="H810" s="32"/>
      <c r="I810" s="32"/>
      <c r="J810" s="32"/>
      <c r="K810" s="28"/>
      <c r="L810" s="32"/>
      <c r="M810" s="28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>
      <c r="A811" s="28"/>
      <c r="B811" s="28"/>
      <c r="C811" s="28"/>
      <c r="D811" s="28"/>
      <c r="E811" s="32"/>
      <c r="F811" s="32"/>
      <c r="G811" s="33"/>
      <c r="H811" s="32"/>
      <c r="I811" s="32"/>
      <c r="J811" s="32"/>
      <c r="K811" s="28"/>
      <c r="L811" s="32"/>
      <c r="M811" s="28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>
      <c r="A812" s="28"/>
      <c r="B812" s="28"/>
      <c r="C812" s="28"/>
      <c r="D812" s="28"/>
      <c r="E812" s="32"/>
      <c r="F812" s="32"/>
      <c r="G812" s="33"/>
      <c r="H812" s="32"/>
      <c r="I812" s="32"/>
      <c r="J812" s="32"/>
      <c r="K812" s="28"/>
      <c r="L812" s="32"/>
      <c r="M812" s="28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>
      <c r="A813" s="28"/>
      <c r="B813" s="28"/>
      <c r="C813" s="28"/>
      <c r="D813" s="28"/>
      <c r="E813" s="32"/>
      <c r="F813" s="32"/>
      <c r="G813" s="33"/>
      <c r="H813" s="32"/>
      <c r="I813" s="32"/>
      <c r="J813" s="32"/>
      <c r="K813" s="28"/>
      <c r="L813" s="32"/>
      <c r="M813" s="28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>
      <c r="A814" s="28"/>
      <c r="B814" s="28"/>
      <c r="C814" s="28"/>
      <c r="D814" s="28"/>
      <c r="E814" s="32"/>
      <c r="F814" s="32"/>
      <c r="G814" s="33"/>
      <c r="H814" s="32"/>
      <c r="I814" s="32"/>
      <c r="J814" s="32"/>
      <c r="K814" s="28"/>
      <c r="L814" s="32"/>
      <c r="M814" s="28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>
      <c r="A815" s="28"/>
      <c r="B815" s="28"/>
      <c r="C815" s="28"/>
      <c r="D815" s="28"/>
      <c r="E815" s="32"/>
      <c r="F815" s="32"/>
      <c r="G815" s="33"/>
      <c r="H815" s="32"/>
      <c r="I815" s="32"/>
      <c r="J815" s="32"/>
      <c r="K815" s="28"/>
      <c r="L815" s="32"/>
      <c r="M815" s="28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>
      <c r="A816" s="28"/>
      <c r="B816" s="28"/>
      <c r="C816" s="28"/>
      <c r="D816" s="28"/>
      <c r="E816" s="32"/>
      <c r="F816" s="32"/>
      <c r="G816" s="33"/>
      <c r="H816" s="32"/>
      <c r="I816" s="32"/>
      <c r="J816" s="32"/>
      <c r="K816" s="28"/>
      <c r="L816" s="32"/>
      <c r="M816" s="28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>
      <c r="A817" s="28"/>
      <c r="B817" s="28"/>
      <c r="C817" s="28"/>
      <c r="D817" s="28"/>
      <c r="E817" s="32"/>
      <c r="F817" s="32"/>
      <c r="G817" s="33"/>
      <c r="H817" s="32"/>
      <c r="I817" s="32"/>
      <c r="J817" s="32"/>
      <c r="K817" s="28"/>
      <c r="L817" s="32"/>
      <c r="M817" s="28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>
      <c r="A818" s="28"/>
      <c r="B818" s="28"/>
      <c r="C818" s="28"/>
      <c r="D818" s="28"/>
      <c r="E818" s="32"/>
      <c r="F818" s="32"/>
      <c r="G818" s="33"/>
      <c r="H818" s="32"/>
      <c r="I818" s="32"/>
      <c r="J818" s="32"/>
      <c r="K818" s="28"/>
      <c r="L818" s="32"/>
      <c r="M818" s="28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>
      <c r="A819" s="28"/>
      <c r="B819" s="28"/>
      <c r="C819" s="28"/>
      <c r="D819" s="28"/>
      <c r="E819" s="32"/>
      <c r="F819" s="32"/>
      <c r="G819" s="33"/>
      <c r="H819" s="32"/>
      <c r="I819" s="32"/>
      <c r="J819" s="32"/>
      <c r="K819" s="28"/>
      <c r="L819" s="32"/>
      <c r="M819" s="28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>
      <c r="A820" s="28"/>
      <c r="B820" s="28"/>
      <c r="C820" s="28"/>
      <c r="D820" s="28"/>
      <c r="E820" s="32"/>
      <c r="F820" s="32"/>
      <c r="G820" s="33"/>
      <c r="H820" s="32"/>
      <c r="I820" s="32"/>
      <c r="J820" s="32"/>
      <c r="K820" s="28"/>
      <c r="L820" s="32"/>
      <c r="M820" s="28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>
      <c r="A821" s="28"/>
      <c r="B821" s="28"/>
      <c r="C821" s="28"/>
      <c r="D821" s="28"/>
      <c r="E821" s="32"/>
      <c r="F821" s="32"/>
      <c r="G821" s="33"/>
      <c r="H821" s="32"/>
      <c r="I821" s="32"/>
      <c r="J821" s="32"/>
      <c r="K821" s="28"/>
      <c r="L821" s="32"/>
      <c r="M821" s="28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>
      <c r="A822" s="28"/>
      <c r="B822" s="28"/>
      <c r="C822" s="28"/>
      <c r="D822" s="28"/>
      <c r="E822" s="32"/>
      <c r="F822" s="32"/>
      <c r="G822" s="33"/>
      <c r="H822" s="32"/>
      <c r="I822" s="32"/>
      <c r="J822" s="32"/>
      <c r="K822" s="28"/>
      <c r="L822" s="32"/>
      <c r="M822" s="28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>
      <c r="A823" s="28"/>
      <c r="B823" s="28"/>
      <c r="C823" s="28"/>
      <c r="D823" s="28"/>
      <c r="E823" s="32"/>
      <c r="F823" s="32"/>
      <c r="G823" s="33"/>
      <c r="H823" s="32"/>
      <c r="I823" s="32"/>
      <c r="J823" s="32"/>
      <c r="K823" s="28"/>
      <c r="L823" s="32"/>
      <c r="M823" s="28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>
      <c r="A824" s="28"/>
      <c r="B824" s="28"/>
      <c r="C824" s="28"/>
      <c r="D824" s="28"/>
      <c r="E824" s="32"/>
      <c r="F824" s="32"/>
      <c r="G824" s="33"/>
      <c r="H824" s="32"/>
      <c r="I824" s="32"/>
      <c r="J824" s="32"/>
      <c r="K824" s="28"/>
      <c r="L824" s="32"/>
      <c r="M824" s="28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>
      <c r="A825" s="28"/>
      <c r="B825" s="28"/>
      <c r="C825" s="28"/>
      <c r="D825" s="28"/>
      <c r="E825" s="32"/>
      <c r="F825" s="32"/>
      <c r="G825" s="33"/>
      <c r="H825" s="32"/>
      <c r="I825" s="32"/>
      <c r="J825" s="32"/>
      <c r="K825" s="28"/>
      <c r="L825" s="32"/>
      <c r="M825" s="28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>
      <c r="A826" s="28"/>
      <c r="B826" s="28"/>
      <c r="C826" s="28"/>
      <c r="D826" s="28"/>
      <c r="E826" s="32"/>
      <c r="F826" s="32"/>
      <c r="G826" s="33"/>
      <c r="H826" s="32"/>
      <c r="I826" s="32"/>
      <c r="J826" s="32"/>
      <c r="K826" s="28"/>
      <c r="L826" s="32"/>
      <c r="M826" s="28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>
      <c r="A827" s="28"/>
      <c r="B827" s="28"/>
      <c r="C827" s="28"/>
      <c r="D827" s="28"/>
      <c r="E827" s="32"/>
      <c r="F827" s="32"/>
      <c r="G827" s="33"/>
      <c r="H827" s="32"/>
      <c r="I827" s="32"/>
      <c r="J827" s="32"/>
      <c r="K827" s="28"/>
      <c r="L827" s="32"/>
      <c r="M827" s="28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>
      <c r="A828" s="28"/>
      <c r="B828" s="28"/>
      <c r="C828" s="28"/>
      <c r="D828" s="28"/>
      <c r="E828" s="32"/>
      <c r="F828" s="32"/>
      <c r="G828" s="33"/>
      <c r="H828" s="32"/>
      <c r="I828" s="32"/>
      <c r="J828" s="32"/>
      <c r="K828" s="28"/>
      <c r="L828" s="32"/>
      <c r="M828" s="28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>
      <c r="A829" s="28"/>
      <c r="B829" s="28"/>
      <c r="C829" s="28"/>
      <c r="D829" s="28"/>
      <c r="E829" s="32"/>
      <c r="F829" s="32"/>
      <c r="G829" s="33"/>
      <c r="H829" s="32"/>
      <c r="I829" s="32"/>
      <c r="J829" s="32"/>
      <c r="K829" s="28"/>
      <c r="L829" s="32"/>
      <c r="M829" s="28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>
      <c r="A830" s="28"/>
      <c r="B830" s="28"/>
      <c r="C830" s="28"/>
      <c r="D830" s="28"/>
      <c r="E830" s="32"/>
      <c r="F830" s="32"/>
      <c r="G830" s="33"/>
      <c r="H830" s="32"/>
      <c r="I830" s="32"/>
      <c r="J830" s="32"/>
      <c r="K830" s="28"/>
      <c r="L830" s="32"/>
      <c r="M830" s="28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>
      <c r="A831" s="28"/>
      <c r="B831" s="28"/>
      <c r="C831" s="28"/>
      <c r="D831" s="28"/>
      <c r="E831" s="32"/>
      <c r="F831" s="32"/>
      <c r="G831" s="33"/>
      <c r="H831" s="32"/>
      <c r="I831" s="32"/>
      <c r="J831" s="32"/>
      <c r="K831" s="28"/>
      <c r="L831" s="32"/>
      <c r="M831" s="28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>
      <c r="A832" s="28"/>
      <c r="B832" s="28"/>
      <c r="C832" s="28"/>
      <c r="D832" s="28"/>
      <c r="E832" s="32"/>
      <c r="F832" s="32"/>
      <c r="G832" s="33"/>
      <c r="H832" s="32"/>
      <c r="I832" s="32"/>
      <c r="J832" s="32"/>
      <c r="K832" s="28"/>
      <c r="L832" s="32"/>
      <c r="M832" s="28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>
      <c r="A833" s="28"/>
      <c r="B833" s="28"/>
      <c r="C833" s="28"/>
      <c r="D833" s="28"/>
      <c r="E833" s="32"/>
      <c r="F833" s="32"/>
      <c r="G833" s="33"/>
      <c r="H833" s="32"/>
      <c r="I833" s="32"/>
      <c r="J833" s="32"/>
      <c r="K833" s="28"/>
      <c r="L833" s="32"/>
      <c r="M833" s="28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>
      <c r="A834" s="28"/>
      <c r="B834" s="28"/>
      <c r="C834" s="28"/>
      <c r="D834" s="28"/>
      <c r="E834" s="32"/>
      <c r="F834" s="32"/>
      <c r="G834" s="33"/>
      <c r="H834" s="32"/>
      <c r="I834" s="32"/>
      <c r="J834" s="32"/>
      <c r="K834" s="28"/>
      <c r="L834" s="32"/>
      <c r="M834" s="28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>
      <c r="A835" s="28"/>
      <c r="B835" s="28"/>
      <c r="C835" s="28"/>
      <c r="D835" s="28"/>
      <c r="E835" s="32"/>
      <c r="F835" s="32"/>
      <c r="G835" s="33"/>
      <c r="H835" s="32"/>
      <c r="I835" s="32"/>
      <c r="J835" s="32"/>
      <c r="K835" s="28"/>
      <c r="L835" s="32"/>
      <c r="M835" s="28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>
      <c r="A836" s="28"/>
      <c r="B836" s="28"/>
      <c r="C836" s="28"/>
      <c r="D836" s="28"/>
      <c r="E836" s="32"/>
      <c r="F836" s="32"/>
      <c r="G836" s="33"/>
      <c r="H836" s="32"/>
      <c r="I836" s="32"/>
      <c r="J836" s="32"/>
      <c r="K836" s="28"/>
      <c r="L836" s="32"/>
      <c r="M836" s="28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>
      <c r="A837" s="28"/>
      <c r="B837" s="28"/>
      <c r="C837" s="28"/>
      <c r="D837" s="28"/>
      <c r="E837" s="32"/>
      <c r="F837" s="32"/>
      <c r="G837" s="33"/>
      <c r="H837" s="32"/>
      <c r="I837" s="32"/>
      <c r="J837" s="32"/>
      <c r="K837" s="28"/>
      <c r="L837" s="32"/>
      <c r="M837" s="28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>
      <c r="A838" s="28"/>
      <c r="B838" s="28"/>
      <c r="C838" s="28"/>
      <c r="D838" s="28"/>
      <c r="E838" s="32"/>
      <c r="F838" s="32"/>
      <c r="G838" s="33"/>
      <c r="H838" s="32"/>
      <c r="I838" s="32"/>
      <c r="J838" s="32"/>
      <c r="K838" s="28"/>
      <c r="L838" s="32"/>
      <c r="M838" s="28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>
      <c r="A839" s="28"/>
      <c r="B839" s="28"/>
      <c r="C839" s="28"/>
      <c r="D839" s="28"/>
      <c r="E839" s="32"/>
      <c r="F839" s="32"/>
      <c r="G839" s="33"/>
      <c r="H839" s="32"/>
      <c r="I839" s="32"/>
      <c r="J839" s="32"/>
      <c r="K839" s="28"/>
      <c r="L839" s="32"/>
      <c r="M839" s="28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>
      <c r="A840" s="28"/>
      <c r="B840" s="28"/>
      <c r="C840" s="28"/>
      <c r="D840" s="28"/>
      <c r="E840" s="32"/>
      <c r="F840" s="32"/>
      <c r="G840" s="33"/>
      <c r="H840" s="32"/>
      <c r="I840" s="32"/>
      <c r="J840" s="32"/>
      <c r="K840" s="28"/>
      <c r="L840" s="32"/>
      <c r="M840" s="28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>
      <c r="A841" s="28"/>
      <c r="B841" s="28"/>
      <c r="C841" s="28"/>
      <c r="D841" s="28"/>
      <c r="E841" s="32"/>
      <c r="F841" s="32"/>
      <c r="G841" s="33"/>
      <c r="H841" s="32"/>
      <c r="I841" s="32"/>
      <c r="J841" s="32"/>
      <c r="K841" s="28"/>
      <c r="L841" s="32"/>
      <c r="M841" s="28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>
      <c r="A842" s="28"/>
      <c r="B842" s="28"/>
      <c r="C842" s="28"/>
      <c r="D842" s="28"/>
      <c r="E842" s="32"/>
      <c r="F842" s="32"/>
      <c r="G842" s="33"/>
      <c r="H842" s="32"/>
      <c r="I842" s="32"/>
      <c r="J842" s="32"/>
      <c r="K842" s="28"/>
      <c r="L842" s="32"/>
      <c r="M842" s="28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>
      <c r="A843" s="28"/>
      <c r="B843" s="28"/>
      <c r="C843" s="28"/>
      <c r="D843" s="28"/>
      <c r="E843" s="32"/>
      <c r="F843" s="32"/>
      <c r="G843" s="33"/>
      <c r="H843" s="32"/>
      <c r="I843" s="32"/>
      <c r="J843" s="32"/>
      <c r="K843" s="28"/>
      <c r="L843" s="32"/>
      <c r="M843" s="28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>
      <c r="A844" s="28"/>
      <c r="B844" s="28"/>
      <c r="C844" s="28"/>
      <c r="D844" s="28"/>
      <c r="E844" s="32"/>
      <c r="F844" s="32"/>
      <c r="G844" s="33"/>
      <c r="H844" s="32"/>
      <c r="I844" s="32"/>
      <c r="J844" s="32"/>
      <c r="K844" s="28"/>
      <c r="L844" s="32"/>
      <c r="M844" s="28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>
      <c r="A845" s="28"/>
      <c r="B845" s="28"/>
      <c r="C845" s="28"/>
      <c r="D845" s="28"/>
      <c r="E845" s="32"/>
      <c r="F845" s="32"/>
      <c r="G845" s="33"/>
      <c r="H845" s="32"/>
      <c r="I845" s="32"/>
      <c r="J845" s="32"/>
      <c r="K845" s="28"/>
      <c r="L845" s="32"/>
      <c r="M845" s="28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>
      <c r="A846" s="28"/>
      <c r="B846" s="28"/>
      <c r="C846" s="28"/>
      <c r="D846" s="28"/>
      <c r="E846" s="32"/>
      <c r="F846" s="32"/>
      <c r="G846" s="33"/>
      <c r="H846" s="32"/>
      <c r="I846" s="32"/>
      <c r="J846" s="32"/>
      <c r="K846" s="28"/>
      <c r="L846" s="32"/>
      <c r="M846" s="28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>
      <c r="A847" s="28"/>
      <c r="B847" s="28"/>
      <c r="C847" s="28"/>
      <c r="D847" s="28"/>
      <c r="E847" s="32"/>
      <c r="F847" s="32"/>
      <c r="G847" s="33"/>
      <c r="H847" s="32"/>
      <c r="I847" s="32"/>
      <c r="J847" s="32"/>
      <c r="K847" s="28"/>
      <c r="L847" s="32"/>
      <c r="M847" s="28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>
      <c r="A848" s="28"/>
      <c r="B848" s="28"/>
      <c r="C848" s="28"/>
      <c r="D848" s="28"/>
      <c r="E848" s="32"/>
      <c r="F848" s="32"/>
      <c r="G848" s="33"/>
      <c r="H848" s="32"/>
      <c r="I848" s="32"/>
      <c r="J848" s="32"/>
      <c r="K848" s="28"/>
      <c r="L848" s="32"/>
      <c r="M848" s="28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>
      <c r="A849" s="28"/>
      <c r="B849" s="28"/>
      <c r="C849" s="28"/>
      <c r="D849" s="28"/>
      <c r="E849" s="32"/>
      <c r="F849" s="32"/>
      <c r="G849" s="33"/>
      <c r="H849" s="32"/>
      <c r="I849" s="32"/>
      <c r="J849" s="32"/>
      <c r="K849" s="28"/>
      <c r="L849" s="32"/>
      <c r="M849" s="28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>
      <c r="A850" s="28"/>
      <c r="B850" s="28"/>
      <c r="C850" s="28"/>
      <c r="D850" s="28"/>
      <c r="E850" s="32"/>
      <c r="F850" s="32"/>
      <c r="G850" s="33"/>
      <c r="H850" s="32"/>
      <c r="I850" s="32"/>
      <c r="J850" s="32"/>
      <c r="K850" s="28"/>
      <c r="L850" s="32"/>
      <c r="M850" s="28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>
      <c r="A851" s="28"/>
      <c r="B851" s="28"/>
      <c r="C851" s="28"/>
      <c r="D851" s="28"/>
      <c r="E851" s="32"/>
      <c r="F851" s="32"/>
      <c r="G851" s="33"/>
      <c r="H851" s="32"/>
      <c r="I851" s="32"/>
      <c r="J851" s="32"/>
      <c r="K851" s="28"/>
      <c r="L851" s="32"/>
      <c r="M851" s="28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>
      <c r="A852" s="28"/>
      <c r="B852" s="28"/>
      <c r="C852" s="28"/>
      <c r="D852" s="28"/>
      <c r="E852" s="32"/>
      <c r="F852" s="32"/>
      <c r="G852" s="33"/>
      <c r="H852" s="32"/>
      <c r="I852" s="32"/>
      <c r="J852" s="32"/>
      <c r="K852" s="28"/>
      <c r="L852" s="32"/>
      <c r="M852" s="28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>
      <c r="A853" s="28"/>
      <c r="B853" s="28"/>
      <c r="C853" s="28"/>
      <c r="D853" s="28"/>
      <c r="E853" s="32"/>
      <c r="F853" s="32"/>
      <c r="G853" s="33"/>
      <c r="H853" s="32"/>
      <c r="I853" s="32"/>
      <c r="J853" s="32"/>
      <c r="K853" s="28"/>
      <c r="L853" s="32"/>
      <c r="M853" s="28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>
      <c r="A854" s="28"/>
      <c r="B854" s="28"/>
      <c r="C854" s="28"/>
      <c r="D854" s="28"/>
      <c r="E854" s="32"/>
      <c r="F854" s="32"/>
      <c r="G854" s="33"/>
      <c r="H854" s="32"/>
      <c r="I854" s="32"/>
      <c r="J854" s="32"/>
      <c r="K854" s="28"/>
      <c r="L854" s="32"/>
      <c r="M854" s="28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>
      <c r="A855" s="28"/>
      <c r="B855" s="28"/>
      <c r="C855" s="28"/>
      <c r="D855" s="28"/>
      <c r="E855" s="32"/>
      <c r="F855" s="32"/>
      <c r="G855" s="33"/>
      <c r="H855" s="32"/>
      <c r="I855" s="32"/>
      <c r="J855" s="32"/>
      <c r="K855" s="28"/>
      <c r="L855" s="32"/>
      <c r="M855" s="28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>
      <c r="A856" s="28"/>
      <c r="B856" s="28"/>
      <c r="C856" s="28"/>
      <c r="D856" s="28"/>
      <c r="E856" s="32"/>
      <c r="F856" s="32"/>
      <c r="G856" s="33"/>
      <c r="H856" s="32"/>
      <c r="I856" s="32"/>
      <c r="J856" s="32"/>
      <c r="K856" s="28"/>
      <c r="L856" s="32"/>
      <c r="M856" s="28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>
      <c r="A857" s="28"/>
      <c r="B857" s="28"/>
      <c r="C857" s="28"/>
      <c r="D857" s="28"/>
      <c r="E857" s="32"/>
      <c r="F857" s="32"/>
      <c r="G857" s="33"/>
      <c r="H857" s="32"/>
      <c r="I857" s="32"/>
      <c r="J857" s="32"/>
      <c r="K857" s="28"/>
      <c r="L857" s="32"/>
      <c r="M857" s="28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>
      <c r="A858" s="28"/>
      <c r="B858" s="28"/>
      <c r="C858" s="28"/>
      <c r="D858" s="28"/>
      <c r="E858" s="32"/>
      <c r="F858" s="32"/>
      <c r="G858" s="33"/>
      <c r="H858" s="32"/>
      <c r="I858" s="32"/>
      <c r="J858" s="32"/>
      <c r="K858" s="28"/>
      <c r="L858" s="32"/>
      <c r="M858" s="28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>
      <c r="A859" s="28"/>
      <c r="B859" s="28"/>
      <c r="C859" s="28"/>
      <c r="D859" s="28"/>
      <c r="E859" s="32"/>
      <c r="F859" s="32"/>
      <c r="G859" s="33"/>
      <c r="H859" s="32"/>
      <c r="I859" s="32"/>
      <c r="J859" s="32"/>
      <c r="K859" s="28"/>
      <c r="L859" s="32"/>
      <c r="M859" s="28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>
      <c r="A860" s="28"/>
      <c r="B860" s="28"/>
      <c r="C860" s="28"/>
      <c r="D860" s="28"/>
      <c r="E860" s="32"/>
      <c r="F860" s="32"/>
      <c r="G860" s="33"/>
      <c r="H860" s="32"/>
      <c r="I860" s="32"/>
      <c r="J860" s="32"/>
      <c r="K860" s="28"/>
      <c r="L860" s="32"/>
      <c r="M860" s="28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>
      <c r="A861" s="28"/>
      <c r="B861" s="28"/>
      <c r="C861" s="28"/>
      <c r="D861" s="28"/>
      <c r="E861" s="32"/>
      <c r="F861" s="32"/>
      <c r="G861" s="33"/>
      <c r="H861" s="32"/>
      <c r="I861" s="32"/>
      <c r="J861" s="32"/>
      <c r="K861" s="28"/>
      <c r="L861" s="32"/>
      <c r="M861" s="28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>
      <c r="A862" s="28"/>
      <c r="B862" s="28"/>
      <c r="C862" s="28"/>
      <c r="D862" s="28"/>
      <c r="E862" s="32"/>
      <c r="F862" s="32"/>
      <c r="G862" s="33"/>
      <c r="H862" s="32"/>
      <c r="I862" s="32"/>
      <c r="J862" s="32"/>
      <c r="K862" s="28"/>
      <c r="L862" s="32"/>
      <c r="M862" s="28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>
      <c r="A863" s="28"/>
      <c r="B863" s="28"/>
      <c r="C863" s="28"/>
      <c r="D863" s="28"/>
      <c r="E863" s="32"/>
      <c r="F863" s="32"/>
      <c r="G863" s="33"/>
      <c r="H863" s="32"/>
      <c r="I863" s="32"/>
      <c r="J863" s="32"/>
      <c r="K863" s="28"/>
      <c r="L863" s="32"/>
      <c r="M863" s="28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>
      <c r="A864" s="28"/>
      <c r="B864" s="28"/>
      <c r="C864" s="28"/>
      <c r="D864" s="28"/>
      <c r="E864" s="32"/>
      <c r="F864" s="32"/>
      <c r="G864" s="33"/>
      <c r="H864" s="32"/>
      <c r="I864" s="32"/>
      <c r="J864" s="32"/>
      <c r="K864" s="28"/>
      <c r="L864" s="32"/>
      <c r="M864" s="28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>
      <c r="A865" s="28"/>
      <c r="B865" s="28"/>
      <c r="C865" s="28"/>
      <c r="D865" s="28"/>
      <c r="E865" s="32"/>
      <c r="F865" s="32"/>
      <c r="G865" s="33"/>
      <c r="H865" s="32"/>
      <c r="I865" s="32"/>
      <c r="J865" s="32"/>
      <c r="K865" s="28"/>
      <c r="L865" s="32"/>
      <c r="M865" s="28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>
      <c r="A866" s="28"/>
      <c r="B866" s="28"/>
      <c r="C866" s="28"/>
      <c r="D866" s="28"/>
      <c r="E866" s="32"/>
      <c r="F866" s="32"/>
      <c r="G866" s="33"/>
      <c r="H866" s="32"/>
      <c r="I866" s="32"/>
      <c r="J866" s="32"/>
      <c r="K866" s="28"/>
      <c r="L866" s="32"/>
      <c r="M866" s="28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>
      <c r="A867" s="28"/>
      <c r="B867" s="28"/>
      <c r="C867" s="28"/>
      <c r="D867" s="28"/>
      <c r="E867" s="32"/>
      <c r="F867" s="32"/>
      <c r="G867" s="33"/>
      <c r="H867" s="32"/>
      <c r="I867" s="32"/>
      <c r="J867" s="32"/>
      <c r="K867" s="28"/>
      <c r="L867" s="32"/>
      <c r="M867" s="28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>
      <c r="A868" s="28"/>
      <c r="B868" s="28"/>
      <c r="C868" s="28"/>
      <c r="D868" s="28"/>
      <c r="E868" s="32"/>
      <c r="F868" s="32"/>
      <c r="G868" s="33"/>
      <c r="H868" s="32"/>
      <c r="I868" s="32"/>
      <c r="J868" s="32"/>
      <c r="K868" s="28"/>
      <c r="L868" s="32"/>
      <c r="M868" s="28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>
      <c r="A869" s="28"/>
      <c r="B869" s="28"/>
      <c r="C869" s="28"/>
      <c r="D869" s="28"/>
      <c r="E869" s="32"/>
      <c r="F869" s="32"/>
      <c r="G869" s="33"/>
      <c r="H869" s="32"/>
      <c r="I869" s="32"/>
      <c r="J869" s="32"/>
      <c r="K869" s="28"/>
      <c r="L869" s="32"/>
      <c r="M869" s="28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>
      <c r="A870" s="28"/>
      <c r="B870" s="28"/>
      <c r="C870" s="28"/>
      <c r="D870" s="28"/>
      <c r="E870" s="32"/>
      <c r="F870" s="32"/>
      <c r="G870" s="33"/>
      <c r="H870" s="32"/>
      <c r="I870" s="32"/>
      <c r="J870" s="32"/>
      <c r="K870" s="28"/>
      <c r="L870" s="32"/>
      <c r="M870" s="28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>
      <c r="A871" s="28"/>
      <c r="B871" s="28"/>
      <c r="C871" s="28"/>
      <c r="D871" s="28"/>
      <c r="E871" s="32"/>
      <c r="F871" s="32"/>
      <c r="G871" s="33"/>
      <c r="H871" s="32"/>
      <c r="I871" s="32"/>
      <c r="J871" s="32"/>
      <c r="K871" s="28"/>
      <c r="L871" s="32"/>
      <c r="M871" s="28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>
      <c r="A872" s="28"/>
      <c r="B872" s="28"/>
      <c r="C872" s="28"/>
      <c r="D872" s="28"/>
      <c r="E872" s="32"/>
      <c r="F872" s="32"/>
      <c r="G872" s="33"/>
      <c r="H872" s="32"/>
      <c r="I872" s="32"/>
      <c r="J872" s="32"/>
      <c r="K872" s="28"/>
      <c r="L872" s="32"/>
      <c r="M872" s="28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>
      <c r="A873" s="28"/>
      <c r="B873" s="28"/>
      <c r="C873" s="28"/>
      <c r="D873" s="28"/>
      <c r="E873" s="32"/>
      <c r="F873" s="32"/>
      <c r="G873" s="33"/>
      <c r="H873" s="32"/>
      <c r="I873" s="32"/>
      <c r="J873" s="32"/>
      <c r="K873" s="28"/>
      <c r="L873" s="32"/>
      <c r="M873" s="28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>
      <c r="A874" s="28"/>
      <c r="B874" s="28"/>
      <c r="C874" s="28"/>
      <c r="D874" s="28"/>
      <c r="E874" s="32"/>
      <c r="F874" s="32"/>
      <c r="G874" s="33"/>
      <c r="H874" s="32"/>
      <c r="I874" s="32"/>
      <c r="J874" s="32"/>
      <c r="K874" s="28"/>
      <c r="L874" s="32"/>
      <c r="M874" s="28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>
      <c r="A875" s="28"/>
      <c r="B875" s="28"/>
      <c r="C875" s="28"/>
      <c r="D875" s="28"/>
      <c r="E875" s="32"/>
      <c r="F875" s="32"/>
      <c r="G875" s="33"/>
      <c r="H875" s="32"/>
      <c r="I875" s="32"/>
      <c r="J875" s="32"/>
      <c r="K875" s="28"/>
      <c r="L875" s="32"/>
      <c r="M875" s="28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>
      <c r="A876" s="28"/>
      <c r="B876" s="28"/>
      <c r="C876" s="28"/>
      <c r="D876" s="28"/>
      <c r="E876" s="32"/>
      <c r="F876" s="32"/>
      <c r="G876" s="33"/>
      <c r="H876" s="32"/>
      <c r="I876" s="32"/>
      <c r="J876" s="32"/>
      <c r="K876" s="28"/>
      <c r="L876" s="32"/>
      <c r="M876" s="28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>
      <c r="A877" s="28"/>
      <c r="B877" s="28"/>
      <c r="C877" s="28"/>
      <c r="D877" s="28"/>
      <c r="E877" s="32"/>
      <c r="F877" s="32"/>
      <c r="G877" s="33"/>
      <c r="H877" s="32"/>
      <c r="I877" s="32"/>
      <c r="J877" s="32"/>
      <c r="K877" s="28"/>
      <c r="L877" s="32"/>
      <c r="M877" s="28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>
      <c r="A878" s="28"/>
      <c r="B878" s="28"/>
      <c r="C878" s="28"/>
      <c r="D878" s="28"/>
      <c r="E878" s="32"/>
      <c r="F878" s="32"/>
      <c r="G878" s="33"/>
      <c r="H878" s="32"/>
      <c r="I878" s="32"/>
      <c r="J878" s="32"/>
      <c r="K878" s="28"/>
      <c r="L878" s="32"/>
      <c r="M878" s="28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>
      <c r="A879" s="28"/>
      <c r="B879" s="28"/>
      <c r="C879" s="28"/>
      <c r="D879" s="28"/>
      <c r="E879" s="32"/>
      <c r="F879" s="32"/>
      <c r="G879" s="33"/>
      <c r="H879" s="32"/>
      <c r="I879" s="32"/>
      <c r="J879" s="32"/>
      <c r="K879" s="28"/>
      <c r="L879" s="32"/>
      <c r="M879" s="28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>
      <c r="A880" s="28"/>
      <c r="B880" s="28"/>
      <c r="C880" s="28"/>
      <c r="D880" s="28"/>
      <c r="E880" s="32"/>
      <c r="F880" s="32"/>
      <c r="G880" s="33"/>
      <c r="H880" s="32"/>
      <c r="I880" s="32"/>
      <c r="J880" s="32"/>
      <c r="K880" s="28"/>
      <c r="L880" s="32"/>
      <c r="M880" s="28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>
      <c r="A881" s="28"/>
      <c r="B881" s="28"/>
      <c r="C881" s="28"/>
      <c r="D881" s="28"/>
      <c r="E881" s="32"/>
      <c r="F881" s="32"/>
      <c r="G881" s="33"/>
      <c r="H881" s="32"/>
      <c r="I881" s="32"/>
      <c r="J881" s="32"/>
      <c r="K881" s="28"/>
      <c r="L881" s="32"/>
      <c r="M881" s="28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>
      <c r="A882" s="28"/>
      <c r="B882" s="28"/>
      <c r="C882" s="28"/>
      <c r="D882" s="28"/>
      <c r="E882" s="32"/>
      <c r="F882" s="32"/>
      <c r="G882" s="33"/>
      <c r="H882" s="32"/>
      <c r="I882" s="32"/>
      <c r="J882" s="32"/>
      <c r="K882" s="28"/>
      <c r="L882" s="32"/>
      <c r="M882" s="28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>
      <c r="A883" s="28"/>
      <c r="B883" s="28"/>
      <c r="C883" s="28"/>
      <c r="D883" s="28"/>
      <c r="E883" s="32"/>
      <c r="F883" s="32"/>
      <c r="G883" s="33"/>
      <c r="H883" s="32"/>
      <c r="I883" s="32"/>
      <c r="J883" s="32"/>
      <c r="K883" s="28"/>
      <c r="L883" s="32"/>
      <c r="M883" s="28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>
      <c r="A884" s="28"/>
      <c r="B884" s="28"/>
      <c r="C884" s="28"/>
      <c r="D884" s="28"/>
      <c r="E884" s="32"/>
      <c r="F884" s="32"/>
      <c r="G884" s="33"/>
      <c r="H884" s="32"/>
      <c r="I884" s="32"/>
      <c r="J884" s="32"/>
      <c r="K884" s="28"/>
      <c r="L884" s="32"/>
      <c r="M884" s="28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>
      <c r="A885" s="28"/>
      <c r="B885" s="28"/>
      <c r="C885" s="28"/>
      <c r="D885" s="28"/>
      <c r="E885" s="32"/>
      <c r="F885" s="32"/>
      <c r="G885" s="33"/>
      <c r="H885" s="32"/>
      <c r="I885" s="32"/>
      <c r="J885" s="32"/>
      <c r="K885" s="28"/>
      <c r="L885" s="32"/>
      <c r="M885" s="28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>
      <c r="A886" s="28"/>
      <c r="B886" s="28"/>
      <c r="C886" s="28"/>
      <c r="D886" s="28"/>
      <c r="E886" s="32"/>
      <c r="F886" s="32"/>
      <c r="G886" s="33"/>
      <c r="H886" s="32"/>
      <c r="I886" s="32"/>
      <c r="J886" s="32"/>
      <c r="K886" s="28"/>
      <c r="L886" s="32"/>
      <c r="M886" s="28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>
      <c r="A887" s="28"/>
      <c r="B887" s="28"/>
      <c r="C887" s="28"/>
      <c r="D887" s="28"/>
      <c r="E887" s="32"/>
      <c r="F887" s="32"/>
      <c r="G887" s="33"/>
      <c r="H887" s="32"/>
      <c r="I887" s="32"/>
      <c r="J887" s="32"/>
      <c r="K887" s="28"/>
      <c r="L887" s="32"/>
      <c r="M887" s="28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>
      <c r="A888" s="28"/>
      <c r="B888" s="28"/>
      <c r="C888" s="28"/>
      <c r="D888" s="28"/>
      <c r="E888" s="32"/>
      <c r="F888" s="32"/>
      <c r="G888" s="33"/>
      <c r="H888" s="32"/>
      <c r="I888" s="32"/>
      <c r="J888" s="32"/>
      <c r="K888" s="28"/>
      <c r="L888" s="32"/>
      <c r="M888" s="28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>
      <c r="A889" s="28"/>
      <c r="B889" s="28"/>
      <c r="C889" s="28"/>
      <c r="D889" s="28"/>
      <c r="E889" s="32"/>
      <c r="F889" s="32"/>
      <c r="G889" s="33"/>
      <c r="H889" s="32"/>
      <c r="I889" s="32"/>
      <c r="J889" s="32"/>
      <c r="K889" s="28"/>
      <c r="L889" s="32"/>
      <c r="M889" s="28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>
      <c r="A890" s="28"/>
      <c r="B890" s="28"/>
      <c r="C890" s="28"/>
      <c r="D890" s="28"/>
      <c r="E890" s="32"/>
      <c r="F890" s="32"/>
      <c r="G890" s="33"/>
      <c r="H890" s="32"/>
      <c r="I890" s="32"/>
      <c r="J890" s="32"/>
      <c r="K890" s="28"/>
      <c r="L890" s="32"/>
      <c r="M890" s="28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>
      <c r="A891" s="28"/>
      <c r="B891" s="28"/>
      <c r="C891" s="28"/>
      <c r="D891" s="28"/>
      <c r="E891" s="32"/>
      <c r="F891" s="32"/>
      <c r="G891" s="33"/>
      <c r="H891" s="32"/>
      <c r="I891" s="32"/>
      <c r="J891" s="32"/>
      <c r="K891" s="28"/>
      <c r="L891" s="32"/>
      <c r="M891" s="28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>
      <c r="A892" s="28"/>
      <c r="B892" s="28"/>
      <c r="C892" s="28"/>
      <c r="D892" s="28"/>
      <c r="E892" s="32"/>
      <c r="F892" s="32"/>
      <c r="G892" s="33"/>
      <c r="H892" s="32"/>
      <c r="I892" s="32"/>
      <c r="J892" s="32"/>
      <c r="K892" s="28"/>
      <c r="L892" s="32"/>
      <c r="M892" s="28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>
      <c r="A893" s="28"/>
      <c r="B893" s="28"/>
      <c r="C893" s="28"/>
      <c r="D893" s="28"/>
      <c r="E893" s="32"/>
      <c r="F893" s="32"/>
      <c r="G893" s="33"/>
      <c r="H893" s="32"/>
      <c r="I893" s="32"/>
      <c r="J893" s="32"/>
      <c r="K893" s="28"/>
      <c r="L893" s="32"/>
      <c r="M893" s="28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>
      <c r="A894" s="28"/>
      <c r="B894" s="28"/>
      <c r="C894" s="28"/>
      <c r="D894" s="28"/>
      <c r="E894" s="32"/>
      <c r="F894" s="32"/>
      <c r="G894" s="33"/>
      <c r="H894" s="32"/>
      <c r="I894" s="32"/>
      <c r="J894" s="32"/>
      <c r="K894" s="28"/>
      <c r="L894" s="32"/>
      <c r="M894" s="28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>
      <c r="A895" s="28"/>
      <c r="B895" s="28"/>
      <c r="C895" s="28"/>
      <c r="D895" s="28"/>
      <c r="E895" s="32"/>
      <c r="F895" s="32"/>
      <c r="G895" s="33"/>
      <c r="H895" s="32"/>
      <c r="I895" s="32"/>
      <c r="J895" s="32"/>
      <c r="K895" s="28"/>
      <c r="L895" s="32"/>
      <c r="M895" s="28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>
      <c r="A896" s="28"/>
      <c r="B896" s="28"/>
      <c r="C896" s="28"/>
      <c r="D896" s="28"/>
      <c r="E896" s="32"/>
      <c r="F896" s="32"/>
      <c r="G896" s="33"/>
      <c r="H896" s="32"/>
      <c r="I896" s="32"/>
      <c r="J896" s="32"/>
      <c r="K896" s="28"/>
      <c r="L896" s="32"/>
      <c r="M896" s="28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>
      <c r="A897" s="28"/>
      <c r="B897" s="28"/>
      <c r="C897" s="28"/>
      <c r="D897" s="28"/>
      <c r="E897" s="32"/>
      <c r="F897" s="32"/>
      <c r="G897" s="33"/>
      <c r="H897" s="32"/>
      <c r="I897" s="32"/>
      <c r="J897" s="32"/>
      <c r="K897" s="28"/>
      <c r="L897" s="32"/>
      <c r="M897" s="28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>
      <c r="A898" s="28"/>
      <c r="B898" s="28"/>
      <c r="C898" s="28"/>
      <c r="D898" s="28"/>
      <c r="E898" s="32"/>
      <c r="F898" s="32"/>
      <c r="G898" s="33"/>
      <c r="H898" s="32"/>
      <c r="I898" s="32"/>
      <c r="J898" s="32"/>
      <c r="K898" s="28"/>
      <c r="L898" s="32"/>
      <c r="M898" s="28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>
      <c r="A899" s="28"/>
      <c r="B899" s="28"/>
      <c r="C899" s="28"/>
      <c r="D899" s="28"/>
      <c r="E899" s="32"/>
      <c r="F899" s="32"/>
      <c r="G899" s="33"/>
      <c r="H899" s="32"/>
      <c r="I899" s="32"/>
      <c r="J899" s="32"/>
      <c r="K899" s="28"/>
      <c r="L899" s="32"/>
      <c r="M899" s="28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>
      <c r="A900" s="28"/>
      <c r="B900" s="28"/>
      <c r="C900" s="28"/>
      <c r="D900" s="28"/>
      <c r="E900" s="32"/>
      <c r="F900" s="32"/>
      <c r="G900" s="33"/>
      <c r="H900" s="32"/>
      <c r="I900" s="32"/>
      <c r="J900" s="32"/>
      <c r="K900" s="28"/>
      <c r="L900" s="32"/>
      <c r="M900" s="28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>
      <c r="A901" s="28"/>
      <c r="B901" s="28"/>
      <c r="C901" s="28"/>
      <c r="D901" s="28"/>
      <c r="E901" s="32"/>
      <c r="F901" s="32"/>
      <c r="G901" s="33"/>
      <c r="H901" s="32"/>
      <c r="I901" s="32"/>
      <c r="J901" s="32"/>
      <c r="K901" s="28"/>
      <c r="L901" s="32"/>
      <c r="M901" s="28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>
      <c r="A902" s="28"/>
      <c r="B902" s="28"/>
      <c r="C902" s="28"/>
      <c r="D902" s="28"/>
      <c r="E902" s="32"/>
      <c r="F902" s="32"/>
      <c r="G902" s="33"/>
      <c r="H902" s="32"/>
      <c r="I902" s="32"/>
      <c r="J902" s="32"/>
      <c r="K902" s="28"/>
      <c r="L902" s="32"/>
      <c r="M902" s="28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>
      <c r="A903" s="28"/>
      <c r="B903" s="28"/>
      <c r="C903" s="28"/>
      <c r="D903" s="28"/>
      <c r="E903" s="32"/>
      <c r="F903" s="32"/>
      <c r="G903" s="33"/>
      <c r="H903" s="32"/>
      <c r="I903" s="32"/>
      <c r="J903" s="32"/>
      <c r="K903" s="28"/>
      <c r="L903" s="32"/>
      <c r="M903" s="28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>
      <c r="A904" s="28"/>
      <c r="B904" s="28"/>
      <c r="C904" s="28"/>
      <c r="D904" s="28"/>
      <c r="E904" s="32"/>
      <c r="F904" s="32"/>
      <c r="G904" s="33"/>
      <c r="H904" s="32"/>
      <c r="I904" s="32"/>
      <c r="J904" s="32"/>
      <c r="K904" s="28"/>
      <c r="L904" s="32"/>
      <c r="M904" s="28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>
      <c r="A905" s="28"/>
      <c r="B905" s="28"/>
      <c r="C905" s="28"/>
      <c r="D905" s="28"/>
      <c r="E905" s="32"/>
      <c r="F905" s="32"/>
      <c r="G905" s="33"/>
      <c r="H905" s="32"/>
      <c r="I905" s="32"/>
      <c r="J905" s="32"/>
      <c r="K905" s="28"/>
      <c r="L905" s="32"/>
      <c r="M905" s="28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>
      <c r="A906" s="28"/>
      <c r="B906" s="28"/>
      <c r="C906" s="28"/>
      <c r="D906" s="28"/>
      <c r="E906" s="32"/>
      <c r="F906" s="32"/>
      <c r="G906" s="33"/>
      <c r="H906" s="32"/>
      <c r="I906" s="32"/>
      <c r="J906" s="32"/>
      <c r="K906" s="28"/>
      <c r="L906" s="32"/>
      <c r="M906" s="28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>
      <c r="A907" s="28"/>
      <c r="B907" s="28"/>
      <c r="C907" s="28"/>
      <c r="D907" s="28"/>
      <c r="E907" s="32"/>
      <c r="F907" s="32"/>
      <c r="G907" s="33"/>
      <c r="H907" s="32"/>
      <c r="I907" s="32"/>
      <c r="J907" s="32"/>
      <c r="K907" s="28"/>
      <c r="L907" s="32"/>
      <c r="M907" s="28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>
      <c r="A908" s="28"/>
      <c r="B908" s="28"/>
      <c r="C908" s="28"/>
      <c r="D908" s="28"/>
      <c r="E908" s="32"/>
      <c r="F908" s="32"/>
      <c r="G908" s="33"/>
      <c r="H908" s="32"/>
      <c r="I908" s="32"/>
      <c r="J908" s="32"/>
      <c r="K908" s="28"/>
      <c r="L908" s="32"/>
      <c r="M908" s="28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>
      <c r="A909" s="28"/>
      <c r="B909" s="28"/>
      <c r="C909" s="28"/>
      <c r="D909" s="28"/>
      <c r="E909" s="32"/>
      <c r="F909" s="32"/>
      <c r="G909" s="33"/>
      <c r="H909" s="32"/>
      <c r="I909" s="32"/>
      <c r="J909" s="32"/>
      <c r="K909" s="28"/>
      <c r="L909" s="32"/>
      <c r="M909" s="28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>
      <c r="A910" s="28"/>
      <c r="B910" s="28"/>
      <c r="C910" s="28"/>
      <c r="D910" s="28"/>
      <c r="E910" s="32"/>
      <c r="F910" s="32"/>
      <c r="G910" s="33"/>
      <c r="H910" s="32"/>
      <c r="I910" s="32"/>
      <c r="J910" s="32"/>
      <c r="K910" s="28"/>
      <c r="L910" s="32"/>
      <c r="M910" s="28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>
      <c r="A911" s="28"/>
      <c r="B911" s="28"/>
      <c r="C911" s="28"/>
      <c r="D911" s="28"/>
      <c r="E911" s="32"/>
      <c r="F911" s="32"/>
      <c r="G911" s="33"/>
      <c r="H911" s="32"/>
      <c r="I911" s="32"/>
      <c r="J911" s="32"/>
      <c r="K911" s="28"/>
      <c r="L911" s="32"/>
      <c r="M911" s="28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>
      <c r="A912" s="28"/>
      <c r="B912" s="28"/>
      <c r="C912" s="28"/>
      <c r="D912" s="28"/>
      <c r="E912" s="32"/>
      <c r="F912" s="32"/>
      <c r="G912" s="33"/>
      <c r="H912" s="32"/>
      <c r="I912" s="32"/>
      <c r="J912" s="32"/>
      <c r="K912" s="28"/>
      <c r="L912" s="32"/>
      <c r="M912" s="28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>
      <c r="A913" s="28"/>
      <c r="B913" s="28"/>
      <c r="C913" s="28"/>
      <c r="D913" s="28"/>
      <c r="E913" s="32"/>
      <c r="F913" s="32"/>
      <c r="G913" s="33"/>
      <c r="H913" s="32"/>
      <c r="I913" s="32"/>
      <c r="J913" s="32"/>
      <c r="K913" s="28"/>
      <c r="L913" s="32"/>
      <c r="M913" s="28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>
      <c r="A914" s="28"/>
      <c r="B914" s="28"/>
      <c r="C914" s="28"/>
      <c r="D914" s="28"/>
      <c r="E914" s="32"/>
      <c r="F914" s="32"/>
      <c r="G914" s="33"/>
      <c r="H914" s="32"/>
      <c r="I914" s="32"/>
      <c r="J914" s="32"/>
      <c r="K914" s="28"/>
      <c r="L914" s="32"/>
      <c r="M914" s="28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>
      <c r="A915" s="28"/>
      <c r="B915" s="28"/>
      <c r="C915" s="28"/>
      <c r="D915" s="28"/>
      <c r="E915" s="32"/>
      <c r="F915" s="32"/>
      <c r="G915" s="33"/>
      <c r="H915" s="32"/>
      <c r="I915" s="32"/>
      <c r="J915" s="32"/>
      <c r="K915" s="28"/>
      <c r="L915" s="32"/>
      <c r="M915" s="28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>
      <c r="A916" s="28"/>
      <c r="B916" s="28"/>
      <c r="C916" s="28"/>
      <c r="D916" s="28"/>
      <c r="E916" s="32"/>
      <c r="F916" s="32"/>
      <c r="G916" s="33"/>
      <c r="H916" s="32"/>
      <c r="I916" s="32"/>
      <c r="J916" s="32"/>
      <c r="K916" s="28"/>
      <c r="L916" s="32"/>
      <c r="M916" s="28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>
      <c r="A917" s="28"/>
      <c r="B917" s="28"/>
      <c r="C917" s="28"/>
      <c r="D917" s="28"/>
      <c r="E917" s="32"/>
      <c r="F917" s="32"/>
      <c r="G917" s="33"/>
      <c r="H917" s="32"/>
      <c r="I917" s="32"/>
      <c r="J917" s="32"/>
      <c r="K917" s="28"/>
      <c r="L917" s="32"/>
      <c r="M917" s="28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>
      <c r="A918" s="28"/>
      <c r="B918" s="28"/>
      <c r="C918" s="28"/>
      <c r="D918" s="28"/>
      <c r="E918" s="32"/>
      <c r="F918" s="32"/>
      <c r="G918" s="33"/>
      <c r="H918" s="32"/>
      <c r="I918" s="32"/>
      <c r="J918" s="32"/>
      <c r="K918" s="28"/>
      <c r="L918" s="32"/>
      <c r="M918" s="28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>
      <c r="A919" s="28"/>
      <c r="B919" s="28"/>
      <c r="C919" s="28"/>
      <c r="D919" s="28"/>
      <c r="E919" s="32"/>
      <c r="F919" s="32"/>
      <c r="G919" s="33"/>
      <c r="H919" s="32"/>
      <c r="I919" s="32"/>
      <c r="J919" s="32"/>
      <c r="K919" s="28"/>
      <c r="L919" s="32"/>
      <c r="M919" s="28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>
      <c r="A920" s="28"/>
      <c r="B920" s="28"/>
      <c r="C920" s="28"/>
      <c r="D920" s="28"/>
      <c r="E920" s="32"/>
      <c r="F920" s="32"/>
      <c r="G920" s="33"/>
      <c r="H920" s="32"/>
      <c r="I920" s="32"/>
      <c r="J920" s="32"/>
      <c r="K920" s="28"/>
      <c r="L920" s="32"/>
      <c r="M920" s="28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>
      <c r="A921" s="28"/>
      <c r="B921" s="28"/>
      <c r="C921" s="28"/>
      <c r="D921" s="28"/>
      <c r="E921" s="32"/>
      <c r="F921" s="32"/>
      <c r="G921" s="33"/>
      <c r="H921" s="32"/>
      <c r="I921" s="32"/>
      <c r="J921" s="32"/>
      <c r="K921" s="28"/>
      <c r="L921" s="32"/>
      <c r="M921" s="28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>
      <c r="A922" s="28"/>
      <c r="B922" s="28"/>
      <c r="C922" s="28"/>
      <c r="D922" s="28"/>
      <c r="E922" s="32"/>
      <c r="F922" s="32"/>
      <c r="G922" s="33"/>
      <c r="H922" s="32"/>
      <c r="I922" s="32"/>
      <c r="J922" s="32"/>
      <c r="K922" s="28"/>
      <c r="L922" s="32"/>
      <c r="M922" s="28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>
      <c r="A923" s="28"/>
      <c r="B923" s="28"/>
      <c r="C923" s="28"/>
      <c r="D923" s="28"/>
      <c r="E923" s="32"/>
      <c r="F923" s="32"/>
      <c r="G923" s="33"/>
      <c r="H923" s="32"/>
      <c r="I923" s="32"/>
      <c r="J923" s="32"/>
      <c r="K923" s="28"/>
      <c r="L923" s="32"/>
      <c r="M923" s="28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>
      <c r="A924" s="28"/>
      <c r="B924" s="28"/>
      <c r="C924" s="28"/>
      <c r="D924" s="28"/>
      <c r="E924" s="32"/>
      <c r="F924" s="32"/>
      <c r="G924" s="33"/>
      <c r="H924" s="32"/>
      <c r="I924" s="32"/>
      <c r="J924" s="32"/>
      <c r="K924" s="28"/>
      <c r="L924" s="32"/>
      <c r="M924" s="28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>
      <c r="A925" s="28"/>
      <c r="B925" s="28"/>
      <c r="C925" s="28"/>
      <c r="D925" s="28"/>
      <c r="E925" s="32"/>
      <c r="F925" s="32"/>
      <c r="G925" s="33"/>
      <c r="H925" s="32"/>
      <c r="I925" s="32"/>
      <c r="J925" s="32"/>
      <c r="K925" s="28"/>
      <c r="L925" s="32"/>
      <c r="M925" s="28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>
      <c r="A926" s="28"/>
      <c r="B926" s="28"/>
      <c r="C926" s="28"/>
      <c r="D926" s="28"/>
      <c r="E926" s="32"/>
      <c r="F926" s="32"/>
      <c r="G926" s="33"/>
      <c r="H926" s="32"/>
      <c r="I926" s="32"/>
      <c r="J926" s="32"/>
      <c r="K926" s="28"/>
      <c r="L926" s="32"/>
      <c r="M926" s="28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>
      <c r="A927" s="28"/>
      <c r="B927" s="28"/>
      <c r="C927" s="28"/>
      <c r="D927" s="28"/>
      <c r="E927" s="32"/>
      <c r="F927" s="32"/>
      <c r="G927" s="33"/>
      <c r="H927" s="32"/>
      <c r="I927" s="32"/>
      <c r="J927" s="32"/>
      <c r="K927" s="28"/>
      <c r="L927" s="32"/>
      <c r="M927" s="28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>
      <c r="A928" s="28"/>
      <c r="B928" s="28"/>
      <c r="C928" s="28"/>
      <c r="D928" s="28"/>
      <c r="E928" s="32"/>
      <c r="F928" s="32"/>
      <c r="G928" s="33"/>
      <c r="H928" s="32"/>
      <c r="I928" s="32"/>
      <c r="J928" s="32"/>
      <c r="K928" s="28"/>
      <c r="L928" s="32"/>
      <c r="M928" s="28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>
      <c r="A929" s="28"/>
      <c r="B929" s="28"/>
      <c r="C929" s="28"/>
      <c r="D929" s="28"/>
      <c r="E929" s="32"/>
      <c r="F929" s="32"/>
      <c r="G929" s="33"/>
      <c r="H929" s="32"/>
      <c r="I929" s="32"/>
      <c r="J929" s="32"/>
      <c r="K929" s="28"/>
      <c r="L929" s="32"/>
      <c r="M929" s="28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>
      <c r="A930" s="28"/>
      <c r="B930" s="28"/>
      <c r="C930" s="28"/>
      <c r="D930" s="28"/>
      <c r="E930" s="32"/>
      <c r="F930" s="32"/>
      <c r="G930" s="33"/>
      <c r="H930" s="32"/>
      <c r="I930" s="32"/>
      <c r="J930" s="32"/>
      <c r="K930" s="28"/>
      <c r="L930" s="32"/>
      <c r="M930" s="28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>
      <c r="A931" s="28"/>
      <c r="B931" s="28"/>
      <c r="C931" s="28"/>
      <c r="D931" s="28"/>
      <c r="E931" s="32"/>
      <c r="F931" s="32"/>
      <c r="G931" s="33"/>
      <c r="H931" s="32"/>
      <c r="I931" s="32"/>
      <c r="J931" s="32"/>
      <c r="K931" s="28"/>
      <c r="L931" s="32"/>
      <c r="M931" s="28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>
      <c r="A932" s="28"/>
      <c r="B932" s="28"/>
      <c r="C932" s="28"/>
      <c r="D932" s="28"/>
      <c r="E932" s="32"/>
      <c r="F932" s="32"/>
      <c r="G932" s="33"/>
      <c r="H932" s="32"/>
      <c r="I932" s="32"/>
      <c r="J932" s="32"/>
      <c r="K932" s="28"/>
      <c r="L932" s="32"/>
      <c r="M932" s="28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>
      <c r="A933" s="28"/>
      <c r="B933" s="28"/>
      <c r="C933" s="28"/>
      <c r="D933" s="28"/>
      <c r="E933" s="32"/>
      <c r="F933" s="32"/>
      <c r="G933" s="33"/>
      <c r="H933" s="32"/>
      <c r="I933" s="32"/>
      <c r="J933" s="32"/>
      <c r="K933" s="28"/>
      <c r="L933" s="32"/>
      <c r="M933" s="28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>
      <c r="A934" s="28"/>
      <c r="B934" s="28"/>
      <c r="C934" s="28"/>
      <c r="D934" s="28"/>
      <c r="E934" s="32"/>
      <c r="F934" s="32"/>
      <c r="G934" s="33"/>
      <c r="H934" s="32"/>
      <c r="I934" s="32"/>
      <c r="J934" s="32"/>
      <c r="K934" s="28"/>
      <c r="L934" s="32"/>
      <c r="M934" s="28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>
      <c r="A935" s="28"/>
      <c r="B935" s="28"/>
      <c r="C935" s="28"/>
      <c r="D935" s="28"/>
      <c r="E935" s="32"/>
      <c r="F935" s="32"/>
      <c r="G935" s="33"/>
      <c r="H935" s="32"/>
      <c r="I935" s="32"/>
      <c r="J935" s="32"/>
      <c r="K935" s="28"/>
      <c r="L935" s="32"/>
      <c r="M935" s="28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>
      <c r="A936" s="28"/>
      <c r="B936" s="28"/>
      <c r="C936" s="28"/>
      <c r="D936" s="28"/>
      <c r="E936" s="32"/>
      <c r="F936" s="32"/>
      <c r="G936" s="33"/>
      <c r="H936" s="32"/>
      <c r="I936" s="32"/>
      <c r="J936" s="32"/>
      <c r="K936" s="28"/>
      <c r="L936" s="32"/>
      <c r="M936" s="28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>
      <c r="A937" s="28"/>
      <c r="B937" s="28"/>
      <c r="C937" s="28"/>
      <c r="D937" s="28"/>
      <c r="E937" s="32"/>
      <c r="F937" s="32"/>
      <c r="G937" s="33"/>
      <c r="H937" s="32"/>
      <c r="I937" s="32"/>
      <c r="J937" s="32"/>
      <c r="K937" s="28"/>
      <c r="L937" s="32"/>
      <c r="M937" s="28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>
      <c r="A938" s="28"/>
      <c r="B938" s="28"/>
      <c r="C938" s="28"/>
      <c r="D938" s="28"/>
      <c r="E938" s="32"/>
      <c r="F938" s="32"/>
      <c r="G938" s="33"/>
      <c r="H938" s="32"/>
      <c r="I938" s="32"/>
      <c r="J938" s="32"/>
      <c r="K938" s="28"/>
      <c r="L938" s="32"/>
      <c r="M938" s="28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>
      <c r="A939" s="28"/>
      <c r="B939" s="28"/>
      <c r="C939" s="28"/>
      <c r="D939" s="28"/>
      <c r="E939" s="32"/>
      <c r="F939" s="32"/>
      <c r="G939" s="33"/>
      <c r="H939" s="32"/>
      <c r="I939" s="32"/>
      <c r="J939" s="32"/>
      <c r="K939" s="28"/>
      <c r="L939" s="32"/>
      <c r="M939" s="28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>
      <c r="A940" s="28"/>
      <c r="B940" s="28"/>
      <c r="C940" s="28"/>
      <c r="D940" s="28"/>
      <c r="E940" s="32"/>
      <c r="F940" s="32"/>
      <c r="G940" s="33"/>
      <c r="H940" s="32"/>
      <c r="I940" s="32"/>
      <c r="J940" s="32"/>
      <c r="K940" s="28"/>
      <c r="L940" s="32"/>
      <c r="M940" s="28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>
      <c r="A941" s="28"/>
      <c r="B941" s="28"/>
      <c r="C941" s="28"/>
      <c r="D941" s="28"/>
      <c r="E941" s="32"/>
      <c r="F941" s="32"/>
      <c r="G941" s="33"/>
      <c r="H941" s="32"/>
      <c r="I941" s="32"/>
      <c r="J941" s="32"/>
      <c r="K941" s="28"/>
      <c r="L941" s="32"/>
      <c r="M941" s="28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>
      <c r="A942" s="28"/>
      <c r="B942" s="28"/>
      <c r="C942" s="28"/>
      <c r="D942" s="28"/>
      <c r="E942" s="32"/>
      <c r="F942" s="32"/>
      <c r="G942" s="33"/>
      <c r="H942" s="32"/>
      <c r="I942" s="32"/>
      <c r="J942" s="32"/>
      <c r="K942" s="28"/>
      <c r="L942" s="32"/>
      <c r="M942" s="28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>
      <c r="A943" s="28"/>
      <c r="B943" s="28"/>
      <c r="C943" s="28"/>
      <c r="D943" s="28"/>
      <c r="E943" s="32"/>
      <c r="F943" s="32"/>
      <c r="G943" s="33"/>
      <c r="H943" s="32"/>
      <c r="I943" s="32"/>
      <c r="J943" s="32"/>
      <c r="K943" s="28"/>
      <c r="L943" s="32"/>
      <c r="M943" s="28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>
      <c r="A944" s="28"/>
      <c r="B944" s="28"/>
      <c r="C944" s="28"/>
      <c r="D944" s="28"/>
      <c r="E944" s="32"/>
      <c r="F944" s="32"/>
      <c r="G944" s="33"/>
      <c r="H944" s="32"/>
      <c r="I944" s="32"/>
      <c r="J944" s="32"/>
      <c r="K944" s="28"/>
      <c r="L944" s="32"/>
      <c r="M944" s="28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>
      <c r="A945" s="28"/>
      <c r="B945" s="28"/>
      <c r="C945" s="28"/>
      <c r="D945" s="28"/>
      <c r="E945" s="32"/>
      <c r="F945" s="32"/>
      <c r="G945" s="33"/>
      <c r="H945" s="32"/>
      <c r="I945" s="32"/>
      <c r="J945" s="32"/>
      <c r="K945" s="28"/>
      <c r="L945" s="32"/>
      <c r="M945" s="28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>
      <c r="A946" s="28"/>
      <c r="B946" s="28"/>
      <c r="C946" s="28"/>
      <c r="D946" s="28"/>
      <c r="E946" s="32"/>
      <c r="F946" s="32"/>
      <c r="G946" s="33"/>
      <c r="H946" s="32"/>
      <c r="I946" s="32"/>
      <c r="J946" s="32"/>
      <c r="K946" s="28"/>
      <c r="L946" s="32"/>
      <c r="M946" s="28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>
      <c r="A947" s="28"/>
      <c r="B947" s="28"/>
      <c r="C947" s="28"/>
      <c r="D947" s="28"/>
      <c r="E947" s="32"/>
      <c r="F947" s="32"/>
      <c r="G947" s="33"/>
      <c r="H947" s="32"/>
      <c r="I947" s="32"/>
      <c r="J947" s="32"/>
      <c r="K947" s="28"/>
      <c r="L947" s="32"/>
      <c r="M947" s="28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>
      <c r="A948" s="28"/>
      <c r="B948" s="28"/>
      <c r="C948" s="28"/>
      <c r="D948" s="28"/>
      <c r="E948" s="32"/>
      <c r="F948" s="32"/>
      <c r="G948" s="33"/>
      <c r="H948" s="32"/>
      <c r="I948" s="32"/>
      <c r="J948" s="32"/>
      <c r="K948" s="28"/>
      <c r="L948" s="32"/>
      <c r="M948" s="28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>
      <c r="A949" s="28"/>
      <c r="B949" s="28"/>
      <c r="C949" s="28"/>
      <c r="D949" s="28"/>
      <c r="E949" s="32"/>
      <c r="F949" s="32"/>
      <c r="G949" s="33"/>
      <c r="H949" s="32"/>
      <c r="I949" s="32"/>
      <c r="J949" s="32"/>
      <c r="K949" s="28"/>
      <c r="L949" s="32"/>
      <c r="M949" s="28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>
      <c r="A950" s="28"/>
      <c r="B950" s="28"/>
      <c r="C950" s="28"/>
      <c r="D950" s="28"/>
      <c r="E950" s="32"/>
      <c r="F950" s="32"/>
      <c r="G950" s="33"/>
      <c r="H950" s="32"/>
      <c r="I950" s="32"/>
      <c r="J950" s="32"/>
      <c r="K950" s="28"/>
      <c r="L950" s="32"/>
      <c r="M950" s="28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>
      <c r="A951" s="28"/>
      <c r="B951" s="28"/>
      <c r="C951" s="28"/>
      <c r="D951" s="28"/>
      <c r="E951" s="32"/>
      <c r="F951" s="32"/>
      <c r="G951" s="33"/>
      <c r="H951" s="32"/>
      <c r="I951" s="32"/>
      <c r="J951" s="32"/>
      <c r="K951" s="28"/>
      <c r="L951" s="32"/>
      <c r="M951" s="28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>
      <c r="A952" s="28"/>
      <c r="B952" s="28"/>
      <c r="C952" s="28"/>
      <c r="D952" s="28"/>
      <c r="E952" s="32"/>
      <c r="F952" s="32"/>
      <c r="G952" s="33"/>
      <c r="H952" s="32"/>
      <c r="I952" s="32"/>
      <c r="J952" s="32"/>
      <c r="K952" s="28"/>
      <c r="L952" s="32"/>
      <c r="M952" s="28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>
      <c r="A953" s="28"/>
      <c r="B953" s="28"/>
      <c r="C953" s="28"/>
      <c r="D953" s="28"/>
      <c r="E953" s="32"/>
      <c r="F953" s="32"/>
      <c r="G953" s="33"/>
      <c r="H953" s="32"/>
      <c r="I953" s="32"/>
      <c r="J953" s="32"/>
      <c r="K953" s="28"/>
      <c r="L953" s="32"/>
      <c r="M953" s="28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>
      <c r="A954" s="28"/>
      <c r="B954" s="28"/>
      <c r="C954" s="28"/>
      <c r="D954" s="28"/>
      <c r="E954" s="32"/>
      <c r="F954" s="32"/>
      <c r="G954" s="33"/>
      <c r="H954" s="32"/>
      <c r="I954" s="32"/>
      <c r="J954" s="32"/>
      <c r="K954" s="28"/>
      <c r="L954" s="32"/>
      <c r="M954" s="28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>
      <c r="A955" s="28"/>
      <c r="B955" s="28"/>
      <c r="C955" s="28"/>
      <c r="D955" s="28"/>
      <c r="E955" s="32"/>
      <c r="F955" s="32"/>
      <c r="G955" s="33"/>
      <c r="H955" s="32"/>
      <c r="I955" s="32"/>
      <c r="J955" s="32"/>
      <c r="K955" s="28"/>
      <c r="L955" s="32"/>
      <c r="M955" s="28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>
      <c r="A956" s="28"/>
      <c r="B956" s="28"/>
      <c r="C956" s="28"/>
      <c r="D956" s="28"/>
      <c r="E956" s="32"/>
      <c r="F956" s="32"/>
      <c r="G956" s="33"/>
      <c r="H956" s="32"/>
      <c r="I956" s="32"/>
      <c r="J956" s="32"/>
      <c r="K956" s="28"/>
      <c r="L956" s="32"/>
      <c r="M956" s="28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>
      <c r="A957" s="28"/>
      <c r="B957" s="28"/>
      <c r="C957" s="28"/>
      <c r="D957" s="28"/>
      <c r="E957" s="32"/>
      <c r="F957" s="32"/>
      <c r="G957" s="33"/>
      <c r="H957" s="32"/>
      <c r="I957" s="32"/>
      <c r="J957" s="32"/>
      <c r="K957" s="28"/>
      <c r="L957" s="32"/>
      <c r="M957" s="28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>
      <c r="A958" s="28"/>
      <c r="B958" s="28"/>
      <c r="C958" s="28"/>
      <c r="D958" s="28"/>
      <c r="E958" s="32"/>
      <c r="F958" s="32"/>
      <c r="G958" s="33"/>
      <c r="H958" s="32"/>
      <c r="I958" s="32"/>
      <c r="J958" s="32"/>
      <c r="K958" s="28"/>
      <c r="L958" s="32"/>
      <c r="M958" s="28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>
      <c r="A959" s="28"/>
      <c r="B959" s="28"/>
      <c r="C959" s="28"/>
      <c r="D959" s="28"/>
      <c r="E959" s="32"/>
      <c r="F959" s="32"/>
      <c r="G959" s="33"/>
      <c r="H959" s="32"/>
      <c r="I959" s="32"/>
      <c r="J959" s="32"/>
      <c r="K959" s="28"/>
      <c r="L959" s="32"/>
      <c r="M959" s="28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>
      <c r="A960" s="28"/>
      <c r="B960" s="28"/>
      <c r="C960" s="28"/>
      <c r="D960" s="28"/>
      <c r="E960" s="32"/>
      <c r="F960" s="32"/>
      <c r="G960" s="33"/>
      <c r="H960" s="32"/>
      <c r="I960" s="32"/>
      <c r="J960" s="32"/>
      <c r="K960" s="28"/>
      <c r="L960" s="32"/>
      <c r="M960" s="28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>
      <c r="A961" s="28"/>
      <c r="B961" s="28"/>
      <c r="C961" s="28"/>
      <c r="D961" s="28"/>
      <c r="E961" s="32"/>
      <c r="F961" s="32"/>
      <c r="G961" s="33"/>
      <c r="H961" s="32"/>
      <c r="I961" s="32"/>
      <c r="J961" s="32"/>
      <c r="K961" s="28"/>
      <c r="L961" s="32"/>
      <c r="M961" s="28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>
      <c r="A962" s="28"/>
      <c r="B962" s="28"/>
      <c r="C962" s="28"/>
      <c r="D962" s="28"/>
      <c r="E962" s="32"/>
      <c r="F962" s="32"/>
      <c r="G962" s="33"/>
      <c r="H962" s="32"/>
      <c r="I962" s="32"/>
      <c r="J962" s="32"/>
      <c r="K962" s="28"/>
      <c r="L962" s="32"/>
      <c r="M962" s="28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>
      <c r="A963" s="28"/>
      <c r="B963" s="28"/>
      <c r="C963" s="28"/>
      <c r="D963" s="28"/>
      <c r="E963" s="32"/>
      <c r="F963" s="32"/>
      <c r="G963" s="33"/>
      <c r="H963" s="32"/>
      <c r="I963" s="32"/>
      <c r="J963" s="32"/>
      <c r="K963" s="28"/>
      <c r="L963" s="32"/>
      <c r="M963" s="28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>
      <c r="A964" s="28"/>
      <c r="B964" s="28"/>
      <c r="C964" s="28"/>
      <c r="D964" s="28"/>
      <c r="E964" s="32"/>
      <c r="F964" s="32"/>
      <c r="G964" s="33"/>
      <c r="H964" s="32"/>
      <c r="I964" s="32"/>
      <c r="J964" s="32"/>
      <c r="K964" s="28"/>
      <c r="L964" s="32"/>
      <c r="M964" s="28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>
      <c r="A965" s="28"/>
      <c r="B965" s="28"/>
      <c r="C965" s="28"/>
      <c r="D965" s="28"/>
      <c r="E965" s="32"/>
      <c r="F965" s="32"/>
      <c r="G965" s="33"/>
      <c r="H965" s="32"/>
      <c r="I965" s="32"/>
      <c r="J965" s="32"/>
      <c r="K965" s="28"/>
      <c r="L965" s="32"/>
      <c r="M965" s="28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>
      <c r="A966" s="28"/>
      <c r="B966" s="28"/>
      <c r="C966" s="28"/>
      <c r="D966" s="28"/>
      <c r="E966" s="32"/>
      <c r="F966" s="32"/>
      <c r="G966" s="33"/>
      <c r="H966" s="32"/>
      <c r="I966" s="32"/>
      <c r="J966" s="32"/>
      <c r="K966" s="28"/>
      <c r="L966" s="32"/>
      <c r="M966" s="28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>
      <c r="A967" s="28"/>
      <c r="B967" s="28"/>
      <c r="C967" s="28"/>
      <c r="D967" s="28"/>
      <c r="E967" s="32"/>
      <c r="F967" s="32"/>
      <c r="G967" s="33"/>
      <c r="H967" s="32"/>
      <c r="I967" s="32"/>
      <c r="J967" s="32"/>
      <c r="K967" s="28"/>
      <c r="L967" s="32"/>
      <c r="M967" s="28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>
      <c r="A968" s="28"/>
      <c r="B968" s="28"/>
      <c r="C968" s="28"/>
      <c r="D968" s="28"/>
      <c r="E968" s="32"/>
      <c r="F968" s="32"/>
      <c r="G968" s="33"/>
      <c r="H968" s="32"/>
      <c r="I968" s="32"/>
      <c r="J968" s="32"/>
      <c r="K968" s="28"/>
      <c r="L968" s="32"/>
      <c r="M968" s="28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>
      <c r="A969" s="28"/>
      <c r="B969" s="28"/>
      <c r="C969" s="28"/>
      <c r="D969" s="28"/>
      <c r="E969" s="32"/>
      <c r="F969" s="32"/>
      <c r="G969" s="33"/>
      <c r="H969" s="32"/>
      <c r="I969" s="32"/>
      <c r="J969" s="32"/>
      <c r="K969" s="28"/>
      <c r="L969" s="32"/>
      <c r="M969" s="28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>
      <c r="A970" s="28"/>
      <c r="B970" s="28"/>
      <c r="C970" s="28"/>
      <c r="D970" s="28"/>
      <c r="E970" s="32"/>
      <c r="F970" s="32"/>
      <c r="G970" s="33"/>
      <c r="H970" s="32"/>
      <c r="I970" s="32"/>
      <c r="J970" s="32"/>
      <c r="K970" s="28"/>
      <c r="L970" s="32"/>
      <c r="M970" s="28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>
      <c r="A971" s="28"/>
      <c r="B971" s="28"/>
      <c r="C971" s="28"/>
      <c r="D971" s="28"/>
      <c r="E971" s="32"/>
      <c r="F971" s="32"/>
      <c r="G971" s="33"/>
      <c r="H971" s="32"/>
      <c r="I971" s="32"/>
      <c r="J971" s="32"/>
      <c r="K971" s="28"/>
      <c r="L971" s="32"/>
      <c r="M971" s="28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>
      <c r="A972" s="28"/>
      <c r="B972" s="28"/>
      <c r="C972" s="28"/>
      <c r="D972" s="28"/>
      <c r="E972" s="32"/>
      <c r="F972" s="32"/>
      <c r="G972" s="33"/>
      <c r="H972" s="32"/>
      <c r="I972" s="32"/>
      <c r="J972" s="32"/>
      <c r="K972" s="28"/>
      <c r="L972" s="32"/>
      <c r="M972" s="28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>
      <c r="A973" s="28"/>
      <c r="B973" s="28"/>
      <c r="C973" s="28"/>
      <c r="D973" s="28"/>
      <c r="E973" s="32"/>
      <c r="F973" s="32"/>
      <c r="G973" s="33"/>
      <c r="H973" s="32"/>
      <c r="I973" s="32"/>
      <c r="J973" s="32"/>
      <c r="K973" s="28"/>
      <c r="L973" s="32"/>
      <c r="M973" s="28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>
      <c r="A974" s="28"/>
      <c r="B974" s="28"/>
      <c r="C974" s="28"/>
      <c r="D974" s="28"/>
      <c r="E974" s="32"/>
      <c r="F974" s="32"/>
      <c r="G974" s="33"/>
      <c r="H974" s="32"/>
      <c r="I974" s="32"/>
      <c r="J974" s="32"/>
      <c r="K974" s="28"/>
      <c r="L974" s="32"/>
      <c r="M974" s="28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>
      <c r="A975" s="28"/>
      <c r="B975" s="28"/>
      <c r="C975" s="28"/>
      <c r="D975" s="28"/>
      <c r="E975" s="32"/>
      <c r="F975" s="32"/>
      <c r="G975" s="33"/>
      <c r="H975" s="32"/>
      <c r="I975" s="32"/>
      <c r="J975" s="32"/>
      <c r="K975" s="28"/>
      <c r="L975" s="32"/>
      <c r="M975" s="28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>
      <c r="A976" s="28"/>
      <c r="B976" s="28"/>
      <c r="C976" s="28"/>
      <c r="D976" s="28"/>
      <c r="E976" s="32"/>
      <c r="F976" s="32"/>
      <c r="G976" s="33"/>
      <c r="H976" s="32"/>
      <c r="I976" s="32"/>
      <c r="J976" s="32"/>
      <c r="K976" s="28"/>
      <c r="L976" s="32"/>
      <c r="M976" s="28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>
      <c r="A977" s="28"/>
      <c r="B977" s="28"/>
      <c r="C977" s="28"/>
      <c r="D977" s="28"/>
      <c r="E977" s="32"/>
      <c r="F977" s="32"/>
      <c r="G977" s="33"/>
      <c r="H977" s="32"/>
      <c r="I977" s="32"/>
      <c r="J977" s="32"/>
      <c r="K977" s="28"/>
      <c r="L977" s="32"/>
      <c r="M977" s="28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>
      <c r="A978" s="28"/>
      <c r="B978" s="28"/>
      <c r="C978" s="28"/>
      <c r="D978" s="28"/>
      <c r="E978" s="32"/>
      <c r="F978" s="32"/>
      <c r="G978" s="33"/>
      <c r="H978" s="32"/>
      <c r="I978" s="32"/>
      <c r="J978" s="32"/>
      <c r="K978" s="28"/>
      <c r="L978" s="32"/>
      <c r="M978" s="28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>
      <c r="A979" s="28"/>
      <c r="B979" s="28"/>
      <c r="C979" s="28"/>
      <c r="D979" s="28"/>
      <c r="E979" s="32"/>
      <c r="F979" s="32"/>
      <c r="G979" s="33"/>
      <c r="H979" s="32"/>
      <c r="I979" s="32"/>
      <c r="J979" s="32"/>
      <c r="K979" s="28"/>
      <c r="L979" s="32"/>
      <c r="M979" s="28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>
      <c r="A980" s="28"/>
      <c r="B980" s="28"/>
      <c r="C980" s="28"/>
      <c r="D980" s="28"/>
      <c r="E980" s="32"/>
      <c r="F980" s="32"/>
      <c r="G980" s="33"/>
      <c r="H980" s="32"/>
      <c r="I980" s="32"/>
      <c r="J980" s="32"/>
      <c r="K980" s="28"/>
      <c r="L980" s="32"/>
      <c r="M980" s="28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>
      <c r="A981" s="28"/>
      <c r="B981" s="28"/>
      <c r="C981" s="28"/>
      <c r="D981" s="28"/>
      <c r="E981" s="32"/>
      <c r="F981" s="32"/>
      <c r="G981" s="33"/>
      <c r="H981" s="32"/>
      <c r="I981" s="32"/>
      <c r="J981" s="32"/>
      <c r="K981" s="28"/>
      <c r="L981" s="32"/>
      <c r="M981" s="28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>
      <c r="A982" s="28"/>
      <c r="B982" s="28"/>
      <c r="C982" s="28"/>
      <c r="D982" s="28"/>
      <c r="E982" s="32"/>
      <c r="F982" s="32"/>
      <c r="G982" s="33"/>
      <c r="H982" s="32"/>
      <c r="I982" s="32"/>
      <c r="J982" s="32"/>
      <c r="K982" s="28"/>
      <c r="L982" s="32"/>
      <c r="M982" s="28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>
      <c r="A983" s="28"/>
      <c r="B983" s="28"/>
      <c r="C983" s="28"/>
      <c r="D983" s="28"/>
      <c r="E983" s="32"/>
      <c r="F983" s="32"/>
      <c r="G983" s="33"/>
      <c r="H983" s="32"/>
      <c r="I983" s="32"/>
      <c r="J983" s="32"/>
      <c r="K983" s="28"/>
      <c r="L983" s="32"/>
      <c r="M983" s="28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>
      <c r="A984" s="28"/>
      <c r="B984" s="28"/>
      <c r="C984" s="28"/>
      <c r="D984" s="28"/>
      <c r="E984" s="32"/>
      <c r="F984" s="32"/>
      <c r="G984" s="33"/>
      <c r="H984" s="32"/>
      <c r="I984" s="32"/>
      <c r="J984" s="32"/>
      <c r="K984" s="28"/>
      <c r="L984" s="32"/>
      <c r="M984" s="28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>
      <c r="A985" s="28"/>
      <c r="B985" s="28"/>
      <c r="C985" s="28"/>
      <c r="D985" s="28"/>
      <c r="E985" s="32"/>
      <c r="F985" s="32"/>
      <c r="G985" s="33"/>
      <c r="H985" s="32"/>
      <c r="I985" s="32"/>
      <c r="J985" s="32"/>
      <c r="K985" s="28"/>
      <c r="L985" s="32"/>
      <c r="M985" s="28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>
      <c r="A986" s="28"/>
      <c r="B986" s="28"/>
      <c r="C986" s="28"/>
      <c r="D986" s="28"/>
      <c r="E986" s="32"/>
      <c r="F986" s="32"/>
      <c r="G986" s="33"/>
      <c r="H986" s="32"/>
      <c r="I986" s="32"/>
      <c r="J986" s="32"/>
      <c r="K986" s="28"/>
      <c r="L986" s="32"/>
      <c r="M986" s="28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>
      <c r="A987" s="28"/>
      <c r="B987" s="28"/>
      <c r="C987" s="28"/>
      <c r="D987" s="28"/>
      <c r="E987" s="32"/>
      <c r="F987" s="32"/>
      <c r="G987" s="33"/>
      <c r="H987" s="32"/>
      <c r="I987" s="32"/>
      <c r="J987" s="32"/>
      <c r="K987" s="28"/>
      <c r="L987" s="32"/>
      <c r="M987" s="28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>
      <c r="A988" s="28"/>
      <c r="B988" s="28"/>
      <c r="C988" s="28"/>
      <c r="D988" s="28"/>
      <c r="E988" s="32"/>
      <c r="F988" s="32"/>
      <c r="G988" s="33"/>
      <c r="H988" s="32"/>
      <c r="I988" s="32"/>
      <c r="J988" s="32"/>
      <c r="K988" s="28"/>
      <c r="L988" s="32"/>
      <c r="M988" s="28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>
      <c r="A989" s="28"/>
      <c r="B989" s="28"/>
      <c r="C989" s="28"/>
      <c r="D989" s="28"/>
      <c r="E989" s="32"/>
      <c r="F989" s="32"/>
      <c r="G989" s="33"/>
      <c r="H989" s="32"/>
      <c r="I989" s="32"/>
      <c r="J989" s="32"/>
      <c r="K989" s="28"/>
      <c r="L989" s="32"/>
      <c r="M989" s="28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>
      <c r="A990" s="28"/>
      <c r="B990" s="28"/>
      <c r="C990" s="28"/>
      <c r="D990" s="28"/>
      <c r="E990" s="32"/>
      <c r="F990" s="32"/>
      <c r="G990" s="33"/>
      <c r="H990" s="32"/>
      <c r="I990" s="32"/>
      <c r="J990" s="32"/>
      <c r="K990" s="28"/>
      <c r="L990" s="32"/>
      <c r="M990" s="28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>
      <c r="A991" s="28"/>
      <c r="B991" s="28"/>
      <c r="C991" s="28"/>
      <c r="D991" s="28"/>
      <c r="E991" s="32"/>
      <c r="F991" s="32"/>
      <c r="G991" s="33"/>
      <c r="H991" s="32"/>
      <c r="I991" s="32"/>
      <c r="J991" s="32"/>
      <c r="K991" s="28"/>
      <c r="L991" s="32"/>
      <c r="M991" s="28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>
      <c r="A992" s="28"/>
      <c r="B992" s="28"/>
      <c r="C992" s="28"/>
      <c r="D992" s="28"/>
      <c r="E992" s="32"/>
      <c r="F992" s="32"/>
      <c r="G992" s="33"/>
      <c r="H992" s="32"/>
      <c r="I992" s="32"/>
      <c r="J992" s="32"/>
      <c r="K992" s="28"/>
      <c r="L992" s="32"/>
      <c r="M992" s="28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>
      <c r="A993" s="28"/>
      <c r="B993" s="28"/>
      <c r="C993" s="28"/>
      <c r="D993" s="28"/>
      <c r="E993" s="32"/>
      <c r="F993" s="32"/>
      <c r="G993" s="33"/>
      <c r="H993" s="32"/>
      <c r="I993" s="32"/>
      <c r="J993" s="32"/>
      <c r="K993" s="28"/>
      <c r="L993" s="32"/>
      <c r="M993" s="28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>
      <c r="A994" s="28"/>
      <c r="B994" s="28"/>
      <c r="C994" s="28"/>
      <c r="D994" s="28"/>
      <c r="E994" s="32"/>
      <c r="F994" s="32"/>
      <c r="G994" s="33"/>
      <c r="H994" s="32"/>
      <c r="I994" s="32"/>
      <c r="J994" s="32"/>
      <c r="K994" s="28"/>
      <c r="L994" s="32"/>
      <c r="M994" s="28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>
      <c r="A995" s="28"/>
      <c r="B995" s="28"/>
      <c r="C995" s="28"/>
      <c r="D995" s="28"/>
      <c r="E995" s="32"/>
      <c r="F995" s="32"/>
      <c r="G995" s="33"/>
      <c r="H995" s="32"/>
      <c r="I995" s="32"/>
      <c r="J995" s="32"/>
      <c r="K995" s="28"/>
      <c r="L995" s="32"/>
      <c r="M995" s="28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>
      <c r="A996" s="28"/>
      <c r="B996" s="28"/>
      <c r="C996" s="28"/>
      <c r="D996" s="28"/>
      <c r="E996" s="32"/>
      <c r="F996" s="32"/>
      <c r="G996" s="33"/>
      <c r="H996" s="32"/>
      <c r="I996" s="32"/>
      <c r="J996" s="32"/>
      <c r="K996" s="28"/>
      <c r="L996" s="32"/>
      <c r="M996" s="28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>
      <c r="A997" s="28"/>
      <c r="B997" s="28"/>
      <c r="C997" s="28"/>
      <c r="D997" s="28"/>
      <c r="E997" s="32"/>
      <c r="F997" s="32"/>
      <c r="G997" s="33"/>
      <c r="H997" s="32"/>
      <c r="I997" s="32"/>
      <c r="J997" s="32"/>
      <c r="K997" s="28"/>
      <c r="L997" s="32"/>
      <c r="M997" s="28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>
      <c r="A998" s="28"/>
      <c r="B998" s="28"/>
      <c r="C998" s="28"/>
      <c r="D998" s="28"/>
      <c r="E998" s="32"/>
      <c r="F998" s="32"/>
      <c r="G998" s="33"/>
      <c r="H998" s="32"/>
      <c r="I998" s="32"/>
      <c r="J998" s="32"/>
      <c r="K998" s="28"/>
      <c r="L998" s="32"/>
      <c r="M998" s="28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>
      <c r="A999" s="28"/>
      <c r="B999" s="28"/>
      <c r="C999" s="28"/>
      <c r="D999" s="28"/>
      <c r="E999" s="32"/>
      <c r="F999" s="32"/>
      <c r="G999" s="33"/>
      <c r="H999" s="32"/>
      <c r="I999" s="32"/>
      <c r="J999" s="32"/>
      <c r="K999" s="28"/>
      <c r="L999" s="32"/>
      <c r="M999" s="28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>
      <c r="A1000" s="28"/>
      <c r="B1000" s="28"/>
      <c r="C1000" s="28"/>
      <c r="D1000" s="28"/>
      <c r="E1000" s="32"/>
      <c r="F1000" s="32"/>
      <c r="G1000" s="33"/>
      <c r="H1000" s="32"/>
      <c r="I1000" s="32"/>
      <c r="J1000" s="32"/>
      <c r="K1000" s="28"/>
      <c r="L1000" s="32"/>
      <c r="M1000" s="28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4.0"/>
    <col customWidth="1" min="6" max="6" width="19.71"/>
    <col customWidth="1" min="7" max="7" width="22.14"/>
    <col customWidth="1" min="9" max="9" width="6.57"/>
    <col customWidth="1" min="10" max="11" width="17.43"/>
    <col customWidth="1" min="12" max="12" width="19.29"/>
    <col customWidth="1" min="13" max="13" width="18.71"/>
    <col customWidth="1" min="14" max="15" width="30.0"/>
    <col customWidth="1" min="16" max="16" width="31.29"/>
    <col customWidth="1" min="17" max="17" width="30.0"/>
    <col customWidth="1" min="19" max="20" width="31.14"/>
    <col customWidth="1" min="21" max="21" width="32.43"/>
    <col customWidth="1" min="22" max="22" width="31.29"/>
    <col customWidth="1" min="23" max="24" width="50.0"/>
    <col customWidth="1" min="25" max="25" width="51.43"/>
    <col customWidth="1" min="26" max="26" width="42.14"/>
  </cols>
  <sheetData>
    <row r="1">
      <c r="A1" s="13" t="s">
        <v>41</v>
      </c>
      <c r="B1" s="13" t="s">
        <v>42</v>
      </c>
      <c r="C1" s="13" t="s">
        <v>43</v>
      </c>
      <c r="D1" s="13" t="s">
        <v>44</v>
      </c>
      <c r="E1" s="8" t="s">
        <v>45</v>
      </c>
      <c r="F1" s="8" t="s">
        <v>46</v>
      </c>
      <c r="G1" s="14" t="s">
        <v>47</v>
      </c>
      <c r="H1" s="8"/>
      <c r="I1" s="8" t="s">
        <v>48</v>
      </c>
      <c r="J1" s="8" t="s">
        <v>49</v>
      </c>
      <c r="K1" s="15" t="s">
        <v>49</v>
      </c>
      <c r="L1" s="8" t="s">
        <v>50</v>
      </c>
      <c r="M1" s="15" t="s">
        <v>79</v>
      </c>
      <c r="N1" s="16" t="s">
        <v>52</v>
      </c>
      <c r="O1" s="16" t="s">
        <v>53</v>
      </c>
      <c r="P1" s="17" t="s">
        <v>54</v>
      </c>
      <c r="Q1" s="17" t="s">
        <v>55</v>
      </c>
      <c r="R1" s="18"/>
      <c r="S1" s="16" t="s">
        <v>56</v>
      </c>
      <c r="T1" s="16" t="s">
        <v>57</v>
      </c>
      <c r="U1" s="17" t="s">
        <v>58</v>
      </c>
      <c r="V1" s="17" t="s">
        <v>59</v>
      </c>
      <c r="W1" s="16" t="s">
        <v>60</v>
      </c>
      <c r="X1" s="16" t="s">
        <v>61</v>
      </c>
      <c r="Y1" s="17" t="s">
        <v>62</v>
      </c>
      <c r="Z1" s="17" t="s">
        <v>63</v>
      </c>
    </row>
    <row r="2">
      <c r="A2" s="13" t="s">
        <v>64</v>
      </c>
      <c r="B2" s="19">
        <v>41640.0</v>
      </c>
      <c r="C2" s="20">
        <v>1.0</v>
      </c>
      <c r="D2" s="21">
        <v>1.0</v>
      </c>
      <c r="E2" s="9">
        <f>A3/31</f>
        <v>7406.387097</v>
      </c>
      <c r="F2" s="9">
        <v>0.45161290322580644</v>
      </c>
      <c r="G2" s="22">
        <f t="shared" ref="G2:G16" si="1">G367</f>
        <v>6954.40999</v>
      </c>
      <c r="H2" s="23"/>
      <c r="I2" s="9">
        <f t="shared" ref="I2:I365" si="2">C2</f>
        <v>1</v>
      </c>
      <c r="J2" s="22">
        <f>SUM(G2:G8)</f>
        <v>49358.83559</v>
      </c>
      <c r="K2" s="24">
        <v>49358.83559</v>
      </c>
      <c r="L2" s="9">
        <f>(RealMonthlyData_2014!E1/366)*7</f>
        <v>42477.31967</v>
      </c>
      <c r="M2" s="24">
        <v>42477.31967</v>
      </c>
      <c r="N2" s="25">
        <v>13752.81165</v>
      </c>
      <c r="O2" s="25">
        <v>11955.47882</v>
      </c>
      <c r="P2" s="25">
        <v>3129.636688</v>
      </c>
      <c r="Q2" s="25">
        <v>21909.84132</v>
      </c>
      <c r="R2" s="18"/>
      <c r="S2" s="25">
        <v>11716.44077</v>
      </c>
      <c r="T2" s="25">
        <v>9577.78543</v>
      </c>
      <c r="U2" s="25">
        <v>2486.355103</v>
      </c>
      <c r="V2" s="25">
        <v>17991.92862</v>
      </c>
      <c r="W2" s="25">
        <v>2036.370872</v>
      </c>
      <c r="X2" s="25">
        <v>2377.693394</v>
      </c>
      <c r="Y2" s="25">
        <v>643.2815855</v>
      </c>
      <c r="Z2" s="25">
        <v>3917.912692</v>
      </c>
    </row>
    <row r="3">
      <c r="A3" s="20">
        <v>229598.0</v>
      </c>
      <c r="B3" s="19">
        <v>41641.0</v>
      </c>
      <c r="C3" s="20">
        <v>1.0</v>
      </c>
      <c r="D3" s="26">
        <v>2.0</v>
      </c>
      <c r="E3" s="9">
        <f t="shared" ref="E3:E32" si="3">E2</f>
        <v>7406.387097</v>
      </c>
      <c r="F3" s="9">
        <v>0.41935483870967744</v>
      </c>
      <c r="G3" s="22">
        <f t="shared" si="1"/>
        <v>6986.694069</v>
      </c>
      <c r="H3" s="8"/>
      <c r="I3" s="9">
        <f t="shared" si="2"/>
        <v>1</v>
      </c>
      <c r="J3" s="8"/>
      <c r="K3" s="27"/>
      <c r="L3" s="9">
        <f t="shared" ref="L3:L365" si="4">L2</f>
        <v>42477.31967</v>
      </c>
      <c r="M3" s="27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>
      <c r="A4" s="28"/>
      <c r="B4" s="19">
        <v>41642.0</v>
      </c>
      <c r="C4" s="20">
        <v>1.0</v>
      </c>
      <c r="D4" s="26">
        <v>3.0</v>
      </c>
      <c r="E4" s="9">
        <f t="shared" si="3"/>
        <v>7406.387097</v>
      </c>
      <c r="F4" s="9">
        <v>0.3870967741935484</v>
      </c>
      <c r="G4" s="22">
        <f t="shared" si="1"/>
        <v>7018.978148</v>
      </c>
      <c r="H4" s="8"/>
      <c r="I4" s="9">
        <f t="shared" si="2"/>
        <v>1</v>
      </c>
      <c r="J4" s="8"/>
      <c r="K4" s="27"/>
      <c r="L4" s="9">
        <f t="shared" si="4"/>
        <v>42477.31967</v>
      </c>
      <c r="M4" s="27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>
      <c r="A5" s="28"/>
      <c r="B5" s="19">
        <v>41643.0</v>
      </c>
      <c r="C5" s="20">
        <v>1.0</v>
      </c>
      <c r="D5" s="26">
        <v>4.0</v>
      </c>
      <c r="E5" s="9">
        <f t="shared" si="3"/>
        <v>7406.387097</v>
      </c>
      <c r="F5" s="9">
        <v>0.3548387096774194</v>
      </c>
      <c r="G5" s="22">
        <f t="shared" si="1"/>
        <v>7051.262227</v>
      </c>
      <c r="H5" s="8"/>
      <c r="I5" s="9">
        <f t="shared" si="2"/>
        <v>1</v>
      </c>
      <c r="J5" s="8"/>
      <c r="K5" s="27"/>
      <c r="L5" s="9">
        <f t="shared" si="4"/>
        <v>42477.31967</v>
      </c>
      <c r="M5" s="27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>
      <c r="A6" s="28"/>
      <c r="B6" s="19">
        <v>41644.0</v>
      </c>
      <c r="C6" s="20">
        <v>1.0</v>
      </c>
      <c r="D6" s="26">
        <v>5.0</v>
      </c>
      <c r="E6" s="9">
        <f t="shared" si="3"/>
        <v>7406.387097</v>
      </c>
      <c r="F6" s="9">
        <v>0.3225806451612903</v>
      </c>
      <c r="G6" s="22">
        <f t="shared" si="1"/>
        <v>7083.546306</v>
      </c>
      <c r="H6" s="8"/>
      <c r="I6" s="9">
        <f t="shared" si="2"/>
        <v>1</v>
      </c>
      <c r="J6" s="8"/>
      <c r="K6" s="27"/>
      <c r="L6" s="9">
        <f t="shared" si="4"/>
        <v>42477.31967</v>
      </c>
      <c r="M6" s="27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A7" s="28"/>
      <c r="B7" s="19">
        <v>41645.0</v>
      </c>
      <c r="C7" s="20">
        <v>1.0</v>
      </c>
      <c r="D7" s="26">
        <v>6.0</v>
      </c>
      <c r="E7" s="9">
        <f t="shared" si="3"/>
        <v>7406.387097</v>
      </c>
      <c r="F7" s="9">
        <v>0.2903225806451613</v>
      </c>
      <c r="G7" s="22">
        <f t="shared" si="1"/>
        <v>7115.830385</v>
      </c>
      <c r="H7" s="8"/>
      <c r="I7" s="9">
        <f t="shared" si="2"/>
        <v>1</v>
      </c>
      <c r="J7" s="8"/>
      <c r="K7" s="27"/>
      <c r="L7" s="9">
        <f t="shared" si="4"/>
        <v>42477.31967</v>
      </c>
      <c r="M7" s="2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>
      <c r="A8" s="28"/>
      <c r="B8" s="19">
        <v>41646.0</v>
      </c>
      <c r="C8" s="20">
        <v>1.0</v>
      </c>
      <c r="D8" s="26">
        <v>7.0</v>
      </c>
      <c r="E8" s="9">
        <f t="shared" si="3"/>
        <v>7406.387097</v>
      </c>
      <c r="F8" s="9">
        <v>0.25806451612903225</v>
      </c>
      <c r="G8" s="22">
        <f t="shared" si="1"/>
        <v>7148.114464</v>
      </c>
      <c r="H8" s="8"/>
      <c r="I8" s="9">
        <f t="shared" si="2"/>
        <v>1</v>
      </c>
      <c r="J8" s="8"/>
      <c r="K8" s="27"/>
      <c r="L8" s="9">
        <f t="shared" si="4"/>
        <v>42477.31967</v>
      </c>
      <c r="M8" s="2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>
      <c r="A9" s="28"/>
      <c r="B9" s="19">
        <v>41647.0</v>
      </c>
      <c r="C9" s="20">
        <v>2.0</v>
      </c>
      <c r="D9" s="26">
        <v>8.0</v>
      </c>
      <c r="E9" s="9">
        <f t="shared" si="3"/>
        <v>7406.387097</v>
      </c>
      <c r="F9" s="9">
        <v>0.22580645161290322</v>
      </c>
      <c r="G9" s="22">
        <f t="shared" si="1"/>
        <v>7180.398543</v>
      </c>
      <c r="H9" s="8"/>
      <c r="I9" s="9">
        <f t="shared" si="2"/>
        <v>2</v>
      </c>
      <c r="J9" s="22">
        <f>SUM(G9:G15)</f>
        <v>50940.75546</v>
      </c>
      <c r="K9" s="24">
        <v>50940.75546</v>
      </c>
      <c r="L9" s="9">
        <f t="shared" si="4"/>
        <v>42477.31967</v>
      </c>
      <c r="M9" s="24">
        <v>42477.31967</v>
      </c>
      <c r="N9" s="25">
        <v>13871.49954</v>
      </c>
      <c r="O9" s="25">
        <v>11599.74794</v>
      </c>
      <c r="P9" s="25">
        <v>3234.472674</v>
      </c>
      <c r="Q9" s="25">
        <v>23061.92109</v>
      </c>
      <c r="R9" s="18"/>
      <c r="S9" s="25">
        <v>11833.96783</v>
      </c>
      <c r="T9" s="25">
        <v>10291.28154</v>
      </c>
      <c r="U9" s="25">
        <v>2684.884298</v>
      </c>
      <c r="V9" s="25">
        <v>19361.56661</v>
      </c>
      <c r="W9" s="25">
        <v>2037.531707</v>
      </c>
      <c r="X9" s="25">
        <v>1308.466408</v>
      </c>
      <c r="Y9" s="25">
        <v>549.5883766</v>
      </c>
      <c r="Z9" s="25">
        <v>3700.354479</v>
      </c>
    </row>
    <row r="10">
      <c r="A10" s="28"/>
      <c r="B10" s="19">
        <v>41648.0</v>
      </c>
      <c r="C10" s="20">
        <v>2.0</v>
      </c>
      <c r="D10" s="26">
        <v>9.0</v>
      </c>
      <c r="E10" s="9">
        <f t="shared" si="3"/>
        <v>7406.387097</v>
      </c>
      <c r="F10" s="9">
        <v>0.1935483870967742</v>
      </c>
      <c r="G10" s="22">
        <f t="shared" si="1"/>
        <v>7212.682622</v>
      </c>
      <c r="H10" s="8"/>
      <c r="I10" s="9">
        <f t="shared" si="2"/>
        <v>2</v>
      </c>
      <c r="J10" s="8"/>
      <c r="K10" s="27"/>
      <c r="L10" s="9">
        <f t="shared" si="4"/>
        <v>42477.31967</v>
      </c>
      <c r="M10" s="2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28"/>
      <c r="B11" s="19">
        <v>41649.0</v>
      </c>
      <c r="C11" s="20">
        <v>2.0</v>
      </c>
      <c r="D11" s="26">
        <v>10.0</v>
      </c>
      <c r="E11" s="9">
        <f t="shared" si="3"/>
        <v>7406.387097</v>
      </c>
      <c r="F11" s="9">
        <v>0.16129032258064516</v>
      </c>
      <c r="G11" s="22">
        <f t="shared" si="1"/>
        <v>7244.966701</v>
      </c>
      <c r="H11" s="8"/>
      <c r="I11" s="9">
        <f t="shared" si="2"/>
        <v>2</v>
      </c>
      <c r="J11" s="8"/>
      <c r="K11" s="27"/>
      <c r="L11" s="9">
        <f t="shared" si="4"/>
        <v>42477.31967</v>
      </c>
      <c r="M11" s="27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28"/>
      <c r="B12" s="19">
        <v>41650.0</v>
      </c>
      <c r="C12" s="20">
        <v>2.0</v>
      </c>
      <c r="D12" s="26">
        <v>11.0</v>
      </c>
      <c r="E12" s="9">
        <f t="shared" si="3"/>
        <v>7406.387097</v>
      </c>
      <c r="F12" s="9">
        <v>0.12903225806451613</v>
      </c>
      <c r="G12" s="22">
        <f t="shared" si="1"/>
        <v>7277.25078</v>
      </c>
      <c r="H12" s="8"/>
      <c r="I12" s="9">
        <f t="shared" si="2"/>
        <v>2</v>
      </c>
      <c r="J12" s="8"/>
      <c r="K12" s="27"/>
      <c r="L12" s="9">
        <f t="shared" si="4"/>
        <v>42477.31967</v>
      </c>
      <c r="M12" s="2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28"/>
      <c r="B13" s="19">
        <v>41651.0</v>
      </c>
      <c r="C13" s="20">
        <v>2.0</v>
      </c>
      <c r="D13" s="26">
        <v>12.0</v>
      </c>
      <c r="E13" s="9">
        <f t="shared" si="3"/>
        <v>7406.387097</v>
      </c>
      <c r="F13" s="9">
        <v>0.0967741935483871</v>
      </c>
      <c r="G13" s="22">
        <f t="shared" si="1"/>
        <v>7309.53486</v>
      </c>
      <c r="H13" s="8"/>
      <c r="I13" s="9">
        <f t="shared" si="2"/>
        <v>2</v>
      </c>
      <c r="J13" s="8"/>
      <c r="K13" s="27"/>
      <c r="L13" s="9">
        <f t="shared" si="4"/>
        <v>42477.31967</v>
      </c>
      <c r="M13" s="27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28"/>
      <c r="B14" s="19">
        <v>41652.0</v>
      </c>
      <c r="C14" s="20">
        <v>2.0</v>
      </c>
      <c r="D14" s="26">
        <v>13.0</v>
      </c>
      <c r="E14" s="9">
        <f t="shared" si="3"/>
        <v>7406.387097</v>
      </c>
      <c r="F14" s="9">
        <v>0.06451612903225806</v>
      </c>
      <c r="G14" s="22">
        <f t="shared" si="1"/>
        <v>7341.818939</v>
      </c>
      <c r="H14" s="8"/>
      <c r="I14" s="9">
        <f t="shared" si="2"/>
        <v>2</v>
      </c>
      <c r="J14" s="8"/>
      <c r="K14" s="27"/>
      <c r="L14" s="9">
        <f t="shared" si="4"/>
        <v>42477.31967</v>
      </c>
      <c r="M14" s="27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28"/>
      <c r="B15" s="19">
        <v>41653.0</v>
      </c>
      <c r="C15" s="20">
        <v>2.0</v>
      </c>
      <c r="D15" s="26">
        <v>14.0</v>
      </c>
      <c r="E15" s="9">
        <f t="shared" si="3"/>
        <v>7406.387097</v>
      </c>
      <c r="F15" s="9">
        <v>0.03225806451612903</v>
      </c>
      <c r="G15" s="22">
        <f t="shared" si="1"/>
        <v>7374.103018</v>
      </c>
      <c r="H15" s="8"/>
      <c r="I15" s="9">
        <f t="shared" si="2"/>
        <v>2</v>
      </c>
      <c r="J15" s="8"/>
      <c r="K15" s="27"/>
      <c r="L15" s="9">
        <f t="shared" si="4"/>
        <v>42477.31967</v>
      </c>
      <c r="M15" s="27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3"/>
      <c r="B16" s="19">
        <v>41654.0</v>
      </c>
      <c r="C16" s="20">
        <v>3.0</v>
      </c>
      <c r="D16" s="26">
        <v>15.0</v>
      </c>
      <c r="E16" s="9">
        <f t="shared" si="3"/>
        <v>7406.387097</v>
      </c>
      <c r="F16" s="9">
        <v>1.0</v>
      </c>
      <c r="G16" s="22">
        <f t="shared" si="1"/>
        <v>7406.387097</v>
      </c>
      <c r="H16" s="8"/>
      <c r="I16" s="9">
        <f t="shared" si="2"/>
        <v>3</v>
      </c>
      <c r="J16" s="22">
        <f>SUM(G16:G22)</f>
        <v>51449.82648</v>
      </c>
      <c r="K16" s="24">
        <v>51449.82648</v>
      </c>
      <c r="L16" s="9">
        <f t="shared" si="4"/>
        <v>42477.31967</v>
      </c>
      <c r="M16" s="24">
        <v>42477.31967</v>
      </c>
      <c r="N16" s="25">
        <v>13294.68382</v>
      </c>
      <c r="O16" s="25">
        <v>11895.82833</v>
      </c>
      <c r="P16" s="25">
        <v>3113.017768</v>
      </c>
      <c r="Q16" s="25">
        <v>21900.28527</v>
      </c>
      <c r="R16" s="18"/>
      <c r="S16" s="25">
        <v>11881.60411</v>
      </c>
      <c r="T16" s="25">
        <v>10042.48053</v>
      </c>
      <c r="U16" s="25">
        <v>2587.591708</v>
      </c>
      <c r="V16" s="25">
        <v>19009.40255</v>
      </c>
      <c r="W16" s="25">
        <v>1413.079711</v>
      </c>
      <c r="X16" s="25">
        <v>1853.347797</v>
      </c>
      <c r="Y16" s="25">
        <v>525.4260603</v>
      </c>
      <c r="Z16" s="25">
        <v>2890.882719</v>
      </c>
    </row>
    <row r="17">
      <c r="A17" s="13"/>
      <c r="B17" s="19">
        <v>41655.0</v>
      </c>
      <c r="C17" s="20">
        <v>3.0</v>
      </c>
      <c r="D17" s="26">
        <v>16.0</v>
      </c>
      <c r="E17" s="9">
        <f t="shared" si="3"/>
        <v>7406.387097</v>
      </c>
      <c r="F17" s="9">
        <f t="shared" ref="F17:F46" si="5">abs((D17-46)/(46-15))</f>
        <v>0.9677419355</v>
      </c>
      <c r="G17" s="22">
        <f t="shared" ref="G17:G44" si="6">E2*F17+(1-F17)*E33</f>
        <v>7387.583135</v>
      </c>
      <c r="H17" s="8"/>
      <c r="I17" s="9">
        <f t="shared" si="2"/>
        <v>3</v>
      </c>
      <c r="J17" s="8"/>
      <c r="K17" s="27"/>
      <c r="L17" s="9">
        <f t="shared" si="4"/>
        <v>42477.31967</v>
      </c>
      <c r="M17" s="27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28"/>
      <c r="B18" s="19">
        <v>41656.0</v>
      </c>
      <c r="C18" s="20">
        <v>3.0</v>
      </c>
      <c r="D18" s="26">
        <v>17.0</v>
      </c>
      <c r="E18" s="9">
        <f t="shared" si="3"/>
        <v>7406.387097</v>
      </c>
      <c r="F18" s="9">
        <f t="shared" si="5"/>
        <v>0.935483871</v>
      </c>
      <c r="G18" s="22">
        <f t="shared" si="6"/>
        <v>7368.779173</v>
      </c>
      <c r="H18" s="8"/>
      <c r="I18" s="9">
        <f t="shared" si="2"/>
        <v>3</v>
      </c>
      <c r="J18" s="8"/>
      <c r="K18" s="27"/>
      <c r="L18" s="9">
        <f t="shared" si="4"/>
        <v>42477.31967</v>
      </c>
      <c r="M18" s="27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28"/>
      <c r="B19" s="19">
        <v>41657.0</v>
      </c>
      <c r="C19" s="20">
        <v>3.0</v>
      </c>
      <c r="D19" s="26">
        <v>18.0</v>
      </c>
      <c r="E19" s="9">
        <f t="shared" si="3"/>
        <v>7406.387097</v>
      </c>
      <c r="F19" s="9">
        <f t="shared" si="5"/>
        <v>0.9032258065</v>
      </c>
      <c r="G19" s="22">
        <f t="shared" si="6"/>
        <v>7349.975212</v>
      </c>
      <c r="H19" s="8"/>
      <c r="I19" s="9">
        <f t="shared" si="2"/>
        <v>3</v>
      </c>
      <c r="J19" s="8"/>
      <c r="K19" s="27"/>
      <c r="L19" s="9">
        <f t="shared" si="4"/>
        <v>42477.31967</v>
      </c>
      <c r="M19" s="27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28"/>
      <c r="B20" s="19">
        <v>41658.0</v>
      </c>
      <c r="C20" s="20">
        <v>3.0</v>
      </c>
      <c r="D20" s="26">
        <v>19.0</v>
      </c>
      <c r="E20" s="9">
        <f t="shared" si="3"/>
        <v>7406.387097</v>
      </c>
      <c r="F20" s="9">
        <f t="shared" si="5"/>
        <v>0.8709677419</v>
      </c>
      <c r="G20" s="22">
        <f t="shared" si="6"/>
        <v>7331.17125</v>
      </c>
      <c r="H20" s="8"/>
      <c r="I20" s="9">
        <f t="shared" si="2"/>
        <v>3</v>
      </c>
      <c r="J20" s="8"/>
      <c r="K20" s="27"/>
      <c r="L20" s="9">
        <f t="shared" si="4"/>
        <v>42477.31967</v>
      </c>
      <c r="M20" s="27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28"/>
      <c r="B21" s="19">
        <v>41659.0</v>
      </c>
      <c r="C21" s="20">
        <v>3.0</v>
      </c>
      <c r="D21" s="26">
        <v>20.0</v>
      </c>
      <c r="E21" s="9">
        <f t="shared" si="3"/>
        <v>7406.387097</v>
      </c>
      <c r="F21" s="9">
        <f t="shared" si="5"/>
        <v>0.8387096774</v>
      </c>
      <c r="G21" s="22">
        <f t="shared" si="6"/>
        <v>7312.367289</v>
      </c>
      <c r="H21" s="8"/>
      <c r="I21" s="9">
        <f t="shared" si="2"/>
        <v>3</v>
      </c>
      <c r="J21" s="8"/>
      <c r="K21" s="27"/>
      <c r="L21" s="9">
        <f t="shared" si="4"/>
        <v>42477.31967</v>
      </c>
      <c r="M21" s="27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28"/>
      <c r="B22" s="19">
        <v>41660.0</v>
      </c>
      <c r="C22" s="20">
        <v>3.0</v>
      </c>
      <c r="D22" s="26">
        <v>21.0</v>
      </c>
      <c r="E22" s="9">
        <f t="shared" si="3"/>
        <v>7406.387097</v>
      </c>
      <c r="F22" s="9">
        <f t="shared" si="5"/>
        <v>0.8064516129</v>
      </c>
      <c r="G22" s="22">
        <f t="shared" si="6"/>
        <v>7293.563327</v>
      </c>
      <c r="H22" s="8"/>
      <c r="I22" s="9">
        <f t="shared" si="2"/>
        <v>3</v>
      </c>
      <c r="J22" s="8"/>
      <c r="K22" s="27"/>
      <c r="L22" s="9">
        <f t="shared" si="4"/>
        <v>42477.31967</v>
      </c>
      <c r="M22" s="27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28"/>
      <c r="B23" s="19">
        <v>41661.0</v>
      </c>
      <c r="C23" s="20">
        <v>4.0</v>
      </c>
      <c r="D23" s="26">
        <v>22.0</v>
      </c>
      <c r="E23" s="9">
        <f t="shared" si="3"/>
        <v>7406.387097</v>
      </c>
      <c r="F23" s="9">
        <f t="shared" si="5"/>
        <v>0.7741935484</v>
      </c>
      <c r="G23" s="22">
        <f t="shared" si="6"/>
        <v>7274.759365</v>
      </c>
      <c r="H23" s="8"/>
      <c r="I23" s="9">
        <f t="shared" si="2"/>
        <v>4</v>
      </c>
      <c r="J23" s="22">
        <f>SUM(G23:G29)</f>
        <v>50528.43236</v>
      </c>
      <c r="K23" s="24">
        <v>50528.43236</v>
      </c>
      <c r="L23" s="9">
        <f t="shared" si="4"/>
        <v>42477.31967</v>
      </c>
      <c r="M23" s="24">
        <v>42477.31967</v>
      </c>
      <c r="N23" s="25">
        <v>14065.13246</v>
      </c>
      <c r="O23" s="25">
        <v>11690.17555</v>
      </c>
      <c r="P23" s="25">
        <v>3148.492645</v>
      </c>
      <c r="Q23" s="25">
        <v>21913.08232</v>
      </c>
      <c r="R23" s="18"/>
      <c r="S23" s="25">
        <v>11638.23444</v>
      </c>
      <c r="T23" s="25">
        <v>10426.40439</v>
      </c>
      <c r="U23" s="25">
        <v>2657.939856</v>
      </c>
      <c r="V23" s="25">
        <v>18584.17392</v>
      </c>
      <c r="W23" s="25">
        <v>2426.898022</v>
      </c>
      <c r="X23" s="25">
        <v>1263.77116</v>
      </c>
      <c r="Y23" s="25">
        <v>490.5527886</v>
      </c>
      <c r="Z23" s="25">
        <v>3328.908391</v>
      </c>
    </row>
    <row r="24">
      <c r="A24" s="28"/>
      <c r="B24" s="19">
        <v>41662.0</v>
      </c>
      <c r="C24" s="20">
        <v>4.0</v>
      </c>
      <c r="D24" s="26">
        <v>23.0</v>
      </c>
      <c r="E24" s="9">
        <f t="shared" si="3"/>
        <v>7406.387097</v>
      </c>
      <c r="F24" s="9">
        <f t="shared" si="5"/>
        <v>0.7419354839</v>
      </c>
      <c r="G24" s="22">
        <f t="shared" si="6"/>
        <v>7255.955404</v>
      </c>
      <c r="H24" s="8"/>
      <c r="I24" s="9">
        <f t="shared" si="2"/>
        <v>4</v>
      </c>
      <c r="J24" s="8"/>
      <c r="K24" s="27"/>
      <c r="L24" s="9">
        <f t="shared" si="4"/>
        <v>42477.31967</v>
      </c>
      <c r="M24" s="27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28"/>
      <c r="B25" s="19">
        <v>41663.0</v>
      </c>
      <c r="C25" s="20">
        <v>4.0</v>
      </c>
      <c r="D25" s="26">
        <v>24.0</v>
      </c>
      <c r="E25" s="9">
        <f t="shared" si="3"/>
        <v>7406.387097</v>
      </c>
      <c r="F25" s="9">
        <f t="shared" si="5"/>
        <v>0.7096774194</v>
      </c>
      <c r="G25" s="22">
        <f t="shared" si="6"/>
        <v>7237.151442</v>
      </c>
      <c r="H25" s="8"/>
      <c r="I25" s="9">
        <f t="shared" si="2"/>
        <v>4</v>
      </c>
      <c r="J25" s="8"/>
      <c r="K25" s="27"/>
      <c r="L25" s="9">
        <f t="shared" si="4"/>
        <v>42477.31967</v>
      </c>
      <c r="M25" s="27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28"/>
      <c r="B26" s="19">
        <v>41664.0</v>
      </c>
      <c r="C26" s="20">
        <v>4.0</v>
      </c>
      <c r="D26" s="26">
        <v>25.0</v>
      </c>
      <c r="E26" s="9">
        <f t="shared" si="3"/>
        <v>7406.387097</v>
      </c>
      <c r="F26" s="9">
        <f t="shared" si="5"/>
        <v>0.6774193548</v>
      </c>
      <c r="G26" s="22">
        <f t="shared" si="6"/>
        <v>7218.34748</v>
      </c>
      <c r="H26" s="8"/>
      <c r="I26" s="9">
        <f t="shared" si="2"/>
        <v>4</v>
      </c>
      <c r="J26" s="8"/>
      <c r="K26" s="27"/>
      <c r="L26" s="9">
        <f t="shared" si="4"/>
        <v>42477.31967</v>
      </c>
      <c r="M26" s="27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28"/>
      <c r="B27" s="19">
        <v>41665.0</v>
      </c>
      <c r="C27" s="20">
        <v>4.0</v>
      </c>
      <c r="D27" s="26">
        <v>26.0</v>
      </c>
      <c r="E27" s="9">
        <f t="shared" si="3"/>
        <v>7406.387097</v>
      </c>
      <c r="F27" s="9">
        <f t="shared" si="5"/>
        <v>0.6451612903</v>
      </c>
      <c r="G27" s="22">
        <f t="shared" si="6"/>
        <v>7199.543519</v>
      </c>
      <c r="H27" s="8"/>
      <c r="I27" s="9">
        <f t="shared" si="2"/>
        <v>4</v>
      </c>
      <c r="J27" s="8"/>
      <c r="K27" s="27"/>
      <c r="L27" s="9">
        <f t="shared" si="4"/>
        <v>42477.31967</v>
      </c>
      <c r="M27" s="27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28"/>
      <c r="B28" s="19">
        <v>41666.0</v>
      </c>
      <c r="C28" s="20">
        <v>4.0</v>
      </c>
      <c r="D28" s="26">
        <v>27.0</v>
      </c>
      <c r="E28" s="9">
        <f t="shared" si="3"/>
        <v>7406.387097</v>
      </c>
      <c r="F28" s="9">
        <f t="shared" si="5"/>
        <v>0.6129032258</v>
      </c>
      <c r="G28" s="22">
        <f t="shared" si="6"/>
        <v>7180.739557</v>
      </c>
      <c r="H28" s="8"/>
      <c r="I28" s="9">
        <f t="shared" si="2"/>
        <v>4</v>
      </c>
      <c r="J28" s="8"/>
      <c r="K28" s="27"/>
      <c r="L28" s="9">
        <f t="shared" si="4"/>
        <v>42477.31967</v>
      </c>
      <c r="M28" s="27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28"/>
      <c r="B29" s="19">
        <v>41667.0</v>
      </c>
      <c r="C29" s="20">
        <v>4.0</v>
      </c>
      <c r="D29" s="26">
        <v>28.0</v>
      </c>
      <c r="E29" s="9">
        <f t="shared" si="3"/>
        <v>7406.387097</v>
      </c>
      <c r="F29" s="9">
        <f t="shared" si="5"/>
        <v>0.5806451613</v>
      </c>
      <c r="G29" s="22">
        <f t="shared" si="6"/>
        <v>7161.935595</v>
      </c>
      <c r="H29" s="8"/>
      <c r="I29" s="9">
        <f t="shared" si="2"/>
        <v>4</v>
      </c>
      <c r="J29" s="8"/>
      <c r="K29" s="27"/>
      <c r="L29" s="9">
        <f t="shared" si="4"/>
        <v>42477.31967</v>
      </c>
      <c r="M29" s="27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28"/>
      <c r="B30" s="19">
        <v>41668.0</v>
      </c>
      <c r="C30" s="20">
        <v>5.0</v>
      </c>
      <c r="D30" s="26">
        <v>29.0</v>
      </c>
      <c r="E30" s="9">
        <f t="shared" si="3"/>
        <v>7406.387097</v>
      </c>
      <c r="F30" s="9">
        <f t="shared" si="5"/>
        <v>0.5483870968</v>
      </c>
      <c r="G30" s="22">
        <f t="shared" si="6"/>
        <v>7143.131634</v>
      </c>
      <c r="H30" s="8"/>
      <c r="I30" s="9">
        <f t="shared" si="2"/>
        <v>5</v>
      </c>
      <c r="J30" s="22">
        <f>SUM(G30:G36)</f>
        <v>49607.03824</v>
      </c>
      <c r="K30" s="24">
        <v>49607.03824</v>
      </c>
      <c r="L30" s="9">
        <f t="shared" si="4"/>
        <v>42477.31967</v>
      </c>
      <c r="M30" s="24">
        <v>42477.31967</v>
      </c>
      <c r="N30" s="25">
        <v>13166.11643</v>
      </c>
      <c r="O30" s="25">
        <v>11701.19107</v>
      </c>
      <c r="P30" s="25">
        <v>2985.271008</v>
      </c>
      <c r="Q30" s="25">
        <v>20854.91919</v>
      </c>
      <c r="R30" s="18"/>
      <c r="S30" s="25">
        <v>11002.81263</v>
      </c>
      <c r="T30" s="25">
        <v>10241.43324</v>
      </c>
      <c r="U30" s="25">
        <v>2684.872724</v>
      </c>
      <c r="V30" s="25">
        <v>18088.74907</v>
      </c>
      <c r="W30" s="25">
        <v>2163.303797</v>
      </c>
      <c r="X30" s="25">
        <v>1459.757828</v>
      </c>
      <c r="Y30" s="25">
        <v>300.3982838</v>
      </c>
      <c r="Z30" s="25">
        <v>2766.170115</v>
      </c>
    </row>
    <row r="31">
      <c r="A31" s="28"/>
      <c r="B31" s="19">
        <v>41669.0</v>
      </c>
      <c r="C31" s="20">
        <v>5.0</v>
      </c>
      <c r="D31" s="26">
        <v>30.0</v>
      </c>
      <c r="E31" s="9">
        <f t="shared" si="3"/>
        <v>7406.387097</v>
      </c>
      <c r="F31" s="9">
        <f t="shared" si="5"/>
        <v>0.5161290323</v>
      </c>
      <c r="G31" s="22">
        <f t="shared" si="6"/>
        <v>7124.327672</v>
      </c>
      <c r="H31" s="8"/>
      <c r="I31" s="9">
        <f t="shared" si="2"/>
        <v>5</v>
      </c>
      <c r="J31" s="8"/>
      <c r="K31" s="27"/>
      <c r="L31" s="9">
        <f t="shared" si="4"/>
        <v>42477.31967</v>
      </c>
      <c r="M31" s="27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28"/>
      <c r="B32" s="19">
        <v>41670.0</v>
      </c>
      <c r="C32" s="20">
        <v>5.0</v>
      </c>
      <c r="D32" s="26">
        <v>31.0</v>
      </c>
      <c r="E32" s="9">
        <f t="shared" si="3"/>
        <v>7406.387097</v>
      </c>
      <c r="F32" s="9">
        <f t="shared" si="5"/>
        <v>0.4838709677</v>
      </c>
      <c r="G32" s="22">
        <f t="shared" si="6"/>
        <v>7105.52371</v>
      </c>
      <c r="H32" s="8"/>
      <c r="I32" s="9">
        <f t="shared" si="2"/>
        <v>5</v>
      </c>
      <c r="J32" s="8"/>
      <c r="K32" s="27"/>
      <c r="L32" s="9">
        <f t="shared" si="4"/>
        <v>42477.31967</v>
      </c>
      <c r="M32" s="27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3" t="s">
        <v>65</v>
      </c>
      <c r="B33" s="19">
        <v>41671.0</v>
      </c>
      <c r="C33" s="20">
        <v>5.0</v>
      </c>
      <c r="D33" s="21">
        <v>32.0</v>
      </c>
      <c r="E33" s="9">
        <f>A34/28</f>
        <v>6823.464286</v>
      </c>
      <c r="F33" s="9">
        <f t="shared" si="5"/>
        <v>0.4516129032</v>
      </c>
      <c r="G33" s="22">
        <f t="shared" si="6"/>
        <v>7086.719749</v>
      </c>
      <c r="H33" s="8"/>
      <c r="I33" s="9">
        <f t="shared" si="2"/>
        <v>5</v>
      </c>
      <c r="J33" s="8"/>
      <c r="K33" s="27"/>
      <c r="L33" s="9">
        <f t="shared" si="4"/>
        <v>42477.31967</v>
      </c>
      <c r="M33" s="27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20">
        <v>191057.0</v>
      </c>
      <c r="B34" s="19">
        <v>41672.0</v>
      </c>
      <c r="C34" s="20">
        <v>5.0</v>
      </c>
      <c r="D34" s="26">
        <v>33.0</v>
      </c>
      <c r="E34" s="9">
        <f t="shared" ref="E34:E60" si="7">E33</f>
        <v>6823.464286</v>
      </c>
      <c r="F34" s="9">
        <f t="shared" si="5"/>
        <v>0.4193548387</v>
      </c>
      <c r="G34" s="22">
        <f t="shared" si="6"/>
        <v>7067.915787</v>
      </c>
      <c r="H34" s="8"/>
      <c r="I34" s="9">
        <f t="shared" si="2"/>
        <v>5</v>
      </c>
      <c r="J34" s="8"/>
      <c r="K34" s="27"/>
      <c r="L34" s="9">
        <f t="shared" si="4"/>
        <v>42477.31967</v>
      </c>
      <c r="M34" s="27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28"/>
      <c r="B35" s="19">
        <v>41673.0</v>
      </c>
      <c r="C35" s="20">
        <v>5.0</v>
      </c>
      <c r="D35" s="26">
        <v>34.0</v>
      </c>
      <c r="E35" s="9">
        <f t="shared" si="7"/>
        <v>6823.464286</v>
      </c>
      <c r="F35" s="9">
        <f t="shared" si="5"/>
        <v>0.3870967742</v>
      </c>
      <c r="G35" s="22">
        <f t="shared" si="6"/>
        <v>7049.111825</v>
      </c>
      <c r="H35" s="8"/>
      <c r="I35" s="9">
        <f t="shared" si="2"/>
        <v>5</v>
      </c>
      <c r="J35" s="8"/>
      <c r="K35" s="27"/>
      <c r="L35" s="9">
        <f t="shared" si="4"/>
        <v>42477.31967</v>
      </c>
      <c r="M35" s="27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28"/>
      <c r="B36" s="19">
        <v>41674.0</v>
      </c>
      <c r="C36" s="20">
        <v>5.0</v>
      </c>
      <c r="D36" s="26">
        <v>35.0</v>
      </c>
      <c r="E36" s="9">
        <f t="shared" si="7"/>
        <v>6823.464286</v>
      </c>
      <c r="F36" s="9">
        <f t="shared" si="5"/>
        <v>0.3548387097</v>
      </c>
      <c r="G36" s="22">
        <f t="shared" si="6"/>
        <v>7030.307864</v>
      </c>
      <c r="H36" s="8"/>
      <c r="I36" s="9">
        <f t="shared" si="2"/>
        <v>5</v>
      </c>
      <c r="J36" s="8"/>
      <c r="K36" s="27"/>
      <c r="L36" s="9">
        <f t="shared" si="4"/>
        <v>42477.31967</v>
      </c>
      <c r="M36" s="27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28"/>
      <c r="B37" s="19">
        <v>41675.0</v>
      </c>
      <c r="C37" s="20">
        <v>6.0</v>
      </c>
      <c r="D37" s="26">
        <v>36.0</v>
      </c>
      <c r="E37" s="9">
        <f t="shared" si="7"/>
        <v>6823.464286</v>
      </c>
      <c r="F37" s="9">
        <f t="shared" si="5"/>
        <v>0.3225806452</v>
      </c>
      <c r="G37" s="22">
        <f t="shared" si="6"/>
        <v>7011.503902</v>
      </c>
      <c r="H37" s="8"/>
      <c r="I37" s="9">
        <f t="shared" si="2"/>
        <v>6</v>
      </c>
      <c r="J37" s="22">
        <f>SUM(G37:G43)</f>
        <v>48685.64412</v>
      </c>
      <c r="K37" s="24">
        <v>48685.64412</v>
      </c>
      <c r="L37" s="9">
        <f t="shared" si="4"/>
        <v>42477.31967</v>
      </c>
      <c r="M37" s="24">
        <v>42477.31967</v>
      </c>
      <c r="N37" s="25">
        <v>12758.94141</v>
      </c>
      <c r="O37" s="25">
        <v>12111.46462</v>
      </c>
      <c r="P37" s="25">
        <v>2881.650913</v>
      </c>
      <c r="Q37" s="25">
        <v>20227.02885</v>
      </c>
      <c r="R37" s="18"/>
      <c r="S37" s="25">
        <v>11724.2155</v>
      </c>
      <c r="T37" s="25">
        <v>9822.978303</v>
      </c>
      <c r="U37" s="25">
        <v>2641.854602</v>
      </c>
      <c r="V37" s="25">
        <v>18803.06346</v>
      </c>
      <c r="W37" s="25">
        <v>1034.725909</v>
      </c>
      <c r="X37" s="25">
        <v>2288.486316</v>
      </c>
      <c r="Y37" s="25">
        <v>239.7963107</v>
      </c>
      <c r="Z37" s="25">
        <v>1423.96539</v>
      </c>
    </row>
    <row r="38">
      <c r="A38" s="28"/>
      <c r="B38" s="19">
        <v>41676.0</v>
      </c>
      <c r="C38" s="20">
        <v>6.0</v>
      </c>
      <c r="D38" s="26">
        <v>37.0</v>
      </c>
      <c r="E38" s="9">
        <f t="shared" si="7"/>
        <v>6823.464286</v>
      </c>
      <c r="F38" s="9">
        <f t="shared" si="5"/>
        <v>0.2903225806</v>
      </c>
      <c r="G38" s="22">
        <f t="shared" si="6"/>
        <v>6992.699941</v>
      </c>
      <c r="H38" s="8"/>
      <c r="I38" s="9">
        <f t="shared" si="2"/>
        <v>6</v>
      </c>
      <c r="J38" s="8"/>
      <c r="K38" s="27"/>
      <c r="L38" s="9">
        <f t="shared" si="4"/>
        <v>42477.31967</v>
      </c>
      <c r="M38" s="27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28"/>
      <c r="B39" s="19">
        <v>41677.0</v>
      </c>
      <c r="C39" s="20">
        <v>6.0</v>
      </c>
      <c r="D39" s="26">
        <v>38.0</v>
      </c>
      <c r="E39" s="9">
        <f t="shared" si="7"/>
        <v>6823.464286</v>
      </c>
      <c r="F39" s="9">
        <f t="shared" si="5"/>
        <v>0.2580645161</v>
      </c>
      <c r="G39" s="22">
        <f t="shared" si="6"/>
        <v>6973.895979</v>
      </c>
      <c r="H39" s="8"/>
      <c r="I39" s="9">
        <f t="shared" si="2"/>
        <v>6</v>
      </c>
      <c r="J39" s="8"/>
      <c r="K39" s="27"/>
      <c r="L39" s="9">
        <f t="shared" si="4"/>
        <v>42477.31967</v>
      </c>
      <c r="M39" s="27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28"/>
      <c r="B40" s="19">
        <v>41678.0</v>
      </c>
      <c r="C40" s="20">
        <v>6.0</v>
      </c>
      <c r="D40" s="26">
        <v>39.0</v>
      </c>
      <c r="E40" s="9">
        <f t="shared" si="7"/>
        <v>6823.464286</v>
      </c>
      <c r="F40" s="9">
        <f t="shared" si="5"/>
        <v>0.2258064516</v>
      </c>
      <c r="G40" s="22">
        <f t="shared" si="6"/>
        <v>6955.092017</v>
      </c>
      <c r="H40" s="8"/>
      <c r="I40" s="9">
        <f t="shared" si="2"/>
        <v>6</v>
      </c>
      <c r="J40" s="8"/>
      <c r="K40" s="27"/>
      <c r="L40" s="9">
        <f t="shared" si="4"/>
        <v>42477.31967</v>
      </c>
      <c r="M40" s="27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28"/>
      <c r="B41" s="19">
        <v>41679.0</v>
      </c>
      <c r="C41" s="20">
        <v>6.0</v>
      </c>
      <c r="D41" s="26">
        <v>40.0</v>
      </c>
      <c r="E41" s="9">
        <f t="shared" si="7"/>
        <v>6823.464286</v>
      </c>
      <c r="F41" s="9">
        <f t="shared" si="5"/>
        <v>0.1935483871</v>
      </c>
      <c r="G41" s="22">
        <f t="shared" si="6"/>
        <v>6936.288056</v>
      </c>
      <c r="H41" s="8"/>
      <c r="I41" s="9">
        <f t="shared" si="2"/>
        <v>6</v>
      </c>
      <c r="J41" s="8"/>
      <c r="K41" s="27"/>
      <c r="L41" s="9">
        <f t="shared" si="4"/>
        <v>42477.31967</v>
      </c>
      <c r="M41" s="27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28"/>
      <c r="B42" s="19">
        <v>41680.0</v>
      </c>
      <c r="C42" s="20">
        <v>6.0</v>
      </c>
      <c r="D42" s="26">
        <v>41.0</v>
      </c>
      <c r="E42" s="9">
        <f t="shared" si="7"/>
        <v>6823.464286</v>
      </c>
      <c r="F42" s="9">
        <f t="shared" si="5"/>
        <v>0.1612903226</v>
      </c>
      <c r="G42" s="22">
        <f t="shared" si="6"/>
        <v>6917.484094</v>
      </c>
      <c r="H42" s="8"/>
      <c r="I42" s="9">
        <f t="shared" si="2"/>
        <v>6</v>
      </c>
      <c r="J42" s="8"/>
      <c r="K42" s="27"/>
      <c r="L42" s="9">
        <f t="shared" si="4"/>
        <v>42477.31967</v>
      </c>
      <c r="M42" s="27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28"/>
      <c r="B43" s="19">
        <v>41681.0</v>
      </c>
      <c r="C43" s="20">
        <v>6.0</v>
      </c>
      <c r="D43" s="26">
        <v>42.0</v>
      </c>
      <c r="E43" s="9">
        <f t="shared" si="7"/>
        <v>6823.464286</v>
      </c>
      <c r="F43" s="9">
        <f t="shared" si="5"/>
        <v>0.1290322581</v>
      </c>
      <c r="G43" s="22">
        <f t="shared" si="6"/>
        <v>6898.680132</v>
      </c>
      <c r="H43" s="8"/>
      <c r="I43" s="9">
        <f t="shared" si="2"/>
        <v>6</v>
      </c>
      <c r="J43" s="8"/>
      <c r="K43" s="27"/>
      <c r="L43" s="9">
        <f t="shared" si="4"/>
        <v>42477.31967</v>
      </c>
      <c r="M43" s="27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28"/>
      <c r="B44" s="19">
        <v>41682.0</v>
      </c>
      <c r="C44" s="20">
        <v>7.0</v>
      </c>
      <c r="D44" s="26">
        <v>43.0</v>
      </c>
      <c r="E44" s="9">
        <f t="shared" si="7"/>
        <v>6823.464286</v>
      </c>
      <c r="F44" s="9">
        <f t="shared" si="5"/>
        <v>0.09677419355</v>
      </c>
      <c r="G44" s="22">
        <f t="shared" si="6"/>
        <v>6879.876171</v>
      </c>
      <c r="H44" s="8"/>
      <c r="I44" s="9">
        <f t="shared" si="2"/>
        <v>7</v>
      </c>
      <c r="J44" s="22">
        <f>SUM(G44:G50)</f>
        <v>47996.6494</v>
      </c>
      <c r="K44" s="24">
        <v>47996.6494</v>
      </c>
      <c r="L44" s="9">
        <f t="shared" si="4"/>
        <v>42477.31967</v>
      </c>
      <c r="M44" s="24">
        <v>42477.31967</v>
      </c>
      <c r="N44" s="25">
        <v>12957.30885</v>
      </c>
      <c r="O44" s="25">
        <v>11211.37504</v>
      </c>
      <c r="P44" s="25">
        <v>2947.474372</v>
      </c>
      <c r="Q44" s="25">
        <v>19900.72316</v>
      </c>
      <c r="R44" s="18"/>
      <c r="S44" s="25">
        <v>10902.82522</v>
      </c>
      <c r="T44" s="25">
        <v>9745.154696</v>
      </c>
      <c r="U44" s="25">
        <v>2497.092069</v>
      </c>
      <c r="V44" s="25">
        <v>19220.1188</v>
      </c>
      <c r="W44" s="25">
        <v>2054.483626</v>
      </c>
      <c r="X44" s="25">
        <v>1466.220344</v>
      </c>
      <c r="Y44" s="25">
        <v>450.3823028</v>
      </c>
      <c r="Z44" s="25">
        <v>680.604356</v>
      </c>
    </row>
    <row r="45">
      <c r="A45" s="28"/>
      <c r="B45" s="19">
        <v>41683.0</v>
      </c>
      <c r="C45" s="20">
        <v>7.0</v>
      </c>
      <c r="D45" s="26">
        <v>44.0</v>
      </c>
      <c r="E45" s="9">
        <f t="shared" si="7"/>
        <v>6823.464286</v>
      </c>
      <c r="F45" s="9">
        <f t="shared" si="5"/>
        <v>0.06451612903</v>
      </c>
      <c r="G45" s="22">
        <f>E30*F45+(1-F45)*E60</f>
        <v>6861.072209</v>
      </c>
      <c r="H45" s="8"/>
      <c r="I45" s="9">
        <f t="shared" si="2"/>
        <v>7</v>
      </c>
      <c r="J45" s="8"/>
      <c r="K45" s="27"/>
      <c r="L45" s="9">
        <f t="shared" si="4"/>
        <v>42477.31967</v>
      </c>
      <c r="M45" s="27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28"/>
      <c r="B46" s="19">
        <v>41684.0</v>
      </c>
      <c r="C46" s="20">
        <v>7.0</v>
      </c>
      <c r="D46" s="26">
        <v>45.0</v>
      </c>
      <c r="E46" s="9">
        <f t="shared" si="7"/>
        <v>6823.464286</v>
      </c>
      <c r="F46" s="9">
        <f t="shared" si="5"/>
        <v>0.03225806452</v>
      </c>
      <c r="G46" s="22">
        <f>E31*F46+(1-F46)*E60</f>
        <v>6842.268247</v>
      </c>
      <c r="H46" s="8"/>
      <c r="I46" s="9">
        <f t="shared" si="2"/>
        <v>7</v>
      </c>
      <c r="J46" s="8"/>
      <c r="K46" s="27"/>
      <c r="L46" s="9">
        <f t="shared" si="4"/>
        <v>42477.31967</v>
      </c>
      <c r="M46" s="27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3"/>
      <c r="B47" s="19">
        <v>41685.0</v>
      </c>
      <c r="C47" s="20">
        <v>7.0</v>
      </c>
      <c r="D47" s="26">
        <v>46.0</v>
      </c>
      <c r="E47" s="9">
        <f t="shared" si="7"/>
        <v>6823.464286</v>
      </c>
      <c r="F47" s="9">
        <v>1.0</v>
      </c>
      <c r="G47" s="22">
        <f>E47</f>
        <v>6823.464286</v>
      </c>
      <c r="H47" s="8"/>
      <c r="I47" s="9">
        <f t="shared" si="2"/>
        <v>7</v>
      </c>
      <c r="J47" s="8"/>
      <c r="K47" s="27"/>
      <c r="L47" s="9">
        <f t="shared" si="4"/>
        <v>42477.31967</v>
      </c>
      <c r="M47" s="27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3"/>
      <c r="B48" s="19">
        <v>41686.0</v>
      </c>
      <c r="C48" s="20">
        <v>7.0</v>
      </c>
      <c r="D48" s="26">
        <v>47.0</v>
      </c>
      <c r="E48" s="9">
        <f t="shared" si="7"/>
        <v>6823.464286</v>
      </c>
      <c r="F48" s="9">
        <f t="shared" ref="F48:F74" si="8">abs((D48-74)/(74-46))</f>
        <v>0.9642857143</v>
      </c>
      <c r="G48" s="22">
        <f t="shared" ref="G48:G75" si="9">E33*F48+(1-F48)*E62</f>
        <v>6843.393557</v>
      </c>
      <c r="H48" s="8"/>
      <c r="I48" s="9">
        <f t="shared" si="2"/>
        <v>7</v>
      </c>
      <c r="J48" s="8"/>
      <c r="K48" s="27"/>
      <c r="L48" s="9">
        <f t="shared" si="4"/>
        <v>42477.31967</v>
      </c>
      <c r="M48" s="27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28"/>
      <c r="B49" s="19">
        <v>41687.0</v>
      </c>
      <c r="C49" s="20">
        <v>7.0</v>
      </c>
      <c r="D49" s="26">
        <v>48.0</v>
      </c>
      <c r="E49" s="9">
        <f t="shared" si="7"/>
        <v>6823.464286</v>
      </c>
      <c r="F49" s="9">
        <f t="shared" si="8"/>
        <v>0.9285714286</v>
      </c>
      <c r="G49" s="22">
        <f t="shared" si="9"/>
        <v>6863.322828</v>
      </c>
      <c r="H49" s="8"/>
      <c r="I49" s="9">
        <f t="shared" si="2"/>
        <v>7</v>
      </c>
      <c r="J49" s="8"/>
      <c r="K49" s="27"/>
      <c r="L49" s="9">
        <f t="shared" si="4"/>
        <v>42477.31967</v>
      </c>
      <c r="M49" s="27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28"/>
      <c r="B50" s="19">
        <v>41688.0</v>
      </c>
      <c r="C50" s="20">
        <v>7.0</v>
      </c>
      <c r="D50" s="26">
        <v>49.0</v>
      </c>
      <c r="E50" s="9">
        <f t="shared" si="7"/>
        <v>6823.464286</v>
      </c>
      <c r="F50" s="9">
        <f t="shared" si="8"/>
        <v>0.8928571429</v>
      </c>
      <c r="G50" s="22">
        <f t="shared" si="9"/>
        <v>6883.252098</v>
      </c>
      <c r="H50" s="8"/>
      <c r="I50" s="9">
        <f t="shared" si="2"/>
        <v>7</v>
      </c>
      <c r="J50" s="8"/>
      <c r="K50" s="27"/>
      <c r="L50" s="9">
        <f t="shared" si="4"/>
        <v>42477.31967</v>
      </c>
      <c r="M50" s="27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28"/>
      <c r="B51" s="19">
        <v>41689.0</v>
      </c>
      <c r="C51" s="20">
        <v>8.0</v>
      </c>
      <c r="D51" s="26">
        <v>50.0</v>
      </c>
      <c r="E51" s="9">
        <f t="shared" si="7"/>
        <v>6823.464286</v>
      </c>
      <c r="F51" s="9">
        <f t="shared" si="8"/>
        <v>0.8571428571</v>
      </c>
      <c r="G51" s="22">
        <f t="shared" si="9"/>
        <v>6903.181369</v>
      </c>
      <c r="H51" s="8"/>
      <c r="I51" s="9">
        <f t="shared" si="2"/>
        <v>8</v>
      </c>
      <c r="J51" s="22">
        <f>SUM(G51:G57)</f>
        <v>48740.78427</v>
      </c>
      <c r="K51" s="24">
        <v>48740.78427</v>
      </c>
      <c r="L51" s="9">
        <f t="shared" si="4"/>
        <v>42477.31967</v>
      </c>
      <c r="M51" s="24">
        <v>42477.31967</v>
      </c>
      <c r="N51" s="25">
        <v>12886.53474</v>
      </c>
      <c r="O51" s="25">
        <v>11803.4139</v>
      </c>
      <c r="P51" s="25">
        <v>2831.223315</v>
      </c>
      <c r="Q51" s="25">
        <v>21197.75838</v>
      </c>
      <c r="R51" s="18"/>
      <c r="S51" s="25">
        <v>11713.18221</v>
      </c>
      <c r="T51" s="25">
        <v>9714.80603</v>
      </c>
      <c r="U51" s="25">
        <v>2622.518779</v>
      </c>
      <c r="V51" s="25">
        <v>18763.02161</v>
      </c>
      <c r="W51" s="25">
        <v>1173.352535</v>
      </c>
      <c r="X51" s="25">
        <v>2088.607874</v>
      </c>
      <c r="Y51" s="25">
        <v>208.7045366</v>
      </c>
      <c r="Z51" s="25">
        <v>2434.736769</v>
      </c>
    </row>
    <row r="52">
      <c r="A52" s="28"/>
      <c r="B52" s="19">
        <v>41690.0</v>
      </c>
      <c r="C52" s="20">
        <v>8.0</v>
      </c>
      <c r="D52" s="26">
        <v>51.0</v>
      </c>
      <c r="E52" s="9">
        <f t="shared" si="7"/>
        <v>6823.464286</v>
      </c>
      <c r="F52" s="9">
        <f t="shared" si="8"/>
        <v>0.8214285714</v>
      </c>
      <c r="G52" s="22">
        <f t="shared" si="9"/>
        <v>6923.11064</v>
      </c>
      <c r="H52" s="8"/>
      <c r="I52" s="9">
        <f t="shared" si="2"/>
        <v>8</v>
      </c>
      <c r="J52" s="8"/>
      <c r="K52" s="27"/>
      <c r="L52" s="9">
        <f t="shared" si="4"/>
        <v>42477.31967</v>
      </c>
      <c r="M52" s="27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28"/>
      <c r="B53" s="19">
        <v>41691.0</v>
      </c>
      <c r="C53" s="20">
        <v>8.0</v>
      </c>
      <c r="D53" s="26">
        <v>52.0</v>
      </c>
      <c r="E53" s="9">
        <f t="shared" si="7"/>
        <v>6823.464286</v>
      </c>
      <c r="F53" s="9">
        <f t="shared" si="8"/>
        <v>0.7857142857</v>
      </c>
      <c r="G53" s="22">
        <f t="shared" si="9"/>
        <v>6943.039911</v>
      </c>
      <c r="H53" s="8"/>
      <c r="I53" s="9">
        <f t="shared" si="2"/>
        <v>8</v>
      </c>
      <c r="J53" s="8"/>
      <c r="K53" s="27"/>
      <c r="L53" s="9">
        <f t="shared" si="4"/>
        <v>42477.31967</v>
      </c>
      <c r="M53" s="27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28"/>
      <c r="B54" s="19">
        <v>41692.0</v>
      </c>
      <c r="C54" s="20">
        <v>8.0</v>
      </c>
      <c r="D54" s="26">
        <v>53.0</v>
      </c>
      <c r="E54" s="9">
        <f t="shared" si="7"/>
        <v>6823.464286</v>
      </c>
      <c r="F54" s="9">
        <f t="shared" si="8"/>
        <v>0.75</v>
      </c>
      <c r="G54" s="22">
        <f t="shared" si="9"/>
        <v>6962.969182</v>
      </c>
      <c r="H54" s="8"/>
      <c r="I54" s="9">
        <f t="shared" si="2"/>
        <v>8</v>
      </c>
      <c r="J54" s="8"/>
      <c r="K54" s="27"/>
      <c r="L54" s="9">
        <f t="shared" si="4"/>
        <v>42477.31967</v>
      </c>
      <c r="M54" s="2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28"/>
      <c r="B55" s="19">
        <v>41693.0</v>
      </c>
      <c r="C55" s="20">
        <v>8.0</v>
      </c>
      <c r="D55" s="26">
        <v>54.0</v>
      </c>
      <c r="E55" s="9">
        <f t="shared" si="7"/>
        <v>6823.464286</v>
      </c>
      <c r="F55" s="9">
        <f t="shared" si="8"/>
        <v>0.7142857143</v>
      </c>
      <c r="G55" s="22">
        <f t="shared" si="9"/>
        <v>6982.898453</v>
      </c>
      <c r="H55" s="8"/>
      <c r="I55" s="9">
        <f t="shared" si="2"/>
        <v>8</v>
      </c>
      <c r="J55" s="8"/>
      <c r="K55" s="27"/>
      <c r="L55" s="9">
        <f t="shared" si="4"/>
        <v>42477.31967</v>
      </c>
      <c r="M55" s="27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28"/>
      <c r="B56" s="19">
        <v>41694.0</v>
      </c>
      <c r="C56" s="20">
        <v>8.0</v>
      </c>
      <c r="D56" s="26">
        <v>55.0</v>
      </c>
      <c r="E56" s="9">
        <f t="shared" si="7"/>
        <v>6823.464286</v>
      </c>
      <c r="F56" s="9">
        <f t="shared" si="8"/>
        <v>0.6785714286</v>
      </c>
      <c r="G56" s="22">
        <f t="shared" si="9"/>
        <v>7002.827724</v>
      </c>
      <c r="H56" s="8"/>
      <c r="I56" s="9">
        <f t="shared" si="2"/>
        <v>8</v>
      </c>
      <c r="J56" s="8"/>
      <c r="K56" s="27"/>
      <c r="L56" s="9">
        <f t="shared" si="4"/>
        <v>42477.31967</v>
      </c>
      <c r="M56" s="27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28"/>
      <c r="B57" s="19">
        <v>41695.0</v>
      </c>
      <c r="C57" s="20">
        <v>8.0</v>
      </c>
      <c r="D57" s="26">
        <v>56.0</v>
      </c>
      <c r="E57" s="9">
        <f t="shared" si="7"/>
        <v>6823.464286</v>
      </c>
      <c r="F57" s="9">
        <f t="shared" si="8"/>
        <v>0.6428571429</v>
      </c>
      <c r="G57" s="22">
        <f t="shared" si="9"/>
        <v>7022.756995</v>
      </c>
      <c r="H57" s="8"/>
      <c r="I57" s="9">
        <f t="shared" si="2"/>
        <v>8</v>
      </c>
      <c r="J57" s="8"/>
      <c r="K57" s="27"/>
      <c r="L57" s="9">
        <f t="shared" si="4"/>
        <v>42477.31967</v>
      </c>
      <c r="M57" s="27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28"/>
      <c r="B58" s="19">
        <v>41696.0</v>
      </c>
      <c r="C58" s="20">
        <v>9.0</v>
      </c>
      <c r="D58" s="26">
        <v>57.0</v>
      </c>
      <c r="E58" s="9">
        <f t="shared" si="7"/>
        <v>6823.464286</v>
      </c>
      <c r="F58" s="9">
        <f t="shared" si="8"/>
        <v>0.6071428571</v>
      </c>
      <c r="G58" s="22">
        <f t="shared" si="9"/>
        <v>7042.686266</v>
      </c>
      <c r="H58" s="8"/>
      <c r="I58" s="9">
        <f t="shared" si="2"/>
        <v>9</v>
      </c>
      <c r="J58" s="22">
        <f>SUM(G58:G64)</f>
        <v>49717.31855</v>
      </c>
      <c r="K58" s="24">
        <v>49717.31855</v>
      </c>
      <c r="L58" s="9">
        <f t="shared" si="4"/>
        <v>42477.31967</v>
      </c>
      <c r="M58" s="24">
        <v>42477.31967</v>
      </c>
      <c r="N58" s="25">
        <v>13112.79469</v>
      </c>
      <c r="O58" s="25">
        <v>11691.21868</v>
      </c>
      <c r="P58" s="25">
        <v>2984.76098</v>
      </c>
      <c r="Q58" s="25">
        <v>22331.06744</v>
      </c>
      <c r="R58" s="18"/>
      <c r="S58" s="25">
        <v>11282.23635</v>
      </c>
      <c r="T58" s="25">
        <v>10233.23685</v>
      </c>
      <c r="U58" s="25">
        <v>2700.692106</v>
      </c>
      <c r="V58" s="25">
        <v>19263.81629</v>
      </c>
      <c r="W58" s="25">
        <v>1830.558342</v>
      </c>
      <c r="X58" s="25">
        <v>1457.981824</v>
      </c>
      <c r="Y58" s="25">
        <v>284.0688745</v>
      </c>
      <c r="Z58" s="25">
        <v>3067.251158</v>
      </c>
    </row>
    <row r="59">
      <c r="A59" s="28"/>
      <c r="B59" s="19">
        <v>41697.0</v>
      </c>
      <c r="C59" s="20">
        <v>9.0</v>
      </c>
      <c r="D59" s="26">
        <v>58.0</v>
      </c>
      <c r="E59" s="9">
        <f t="shared" si="7"/>
        <v>6823.464286</v>
      </c>
      <c r="F59" s="9">
        <f t="shared" si="8"/>
        <v>0.5714285714</v>
      </c>
      <c r="G59" s="22">
        <f t="shared" si="9"/>
        <v>7062.615537</v>
      </c>
      <c r="H59" s="8"/>
      <c r="I59" s="9">
        <f t="shared" si="2"/>
        <v>9</v>
      </c>
      <c r="J59" s="8"/>
      <c r="K59" s="27"/>
      <c r="L59" s="9">
        <f t="shared" si="4"/>
        <v>42477.31967</v>
      </c>
      <c r="M59" s="27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28"/>
      <c r="B60" s="19">
        <v>41698.0</v>
      </c>
      <c r="C60" s="20">
        <v>9.0</v>
      </c>
      <c r="D60" s="26">
        <v>59.0</v>
      </c>
      <c r="E60" s="9">
        <f t="shared" si="7"/>
        <v>6823.464286</v>
      </c>
      <c r="F60" s="9">
        <f t="shared" si="8"/>
        <v>0.5357142857</v>
      </c>
      <c r="G60" s="22">
        <f t="shared" si="9"/>
        <v>7082.544807</v>
      </c>
      <c r="H60" s="8"/>
      <c r="I60" s="9">
        <f t="shared" si="2"/>
        <v>9</v>
      </c>
      <c r="J60" s="8"/>
      <c r="K60" s="27"/>
      <c r="L60" s="9">
        <f t="shared" si="4"/>
        <v>42477.31967</v>
      </c>
      <c r="M60" s="27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3" t="s">
        <v>66</v>
      </c>
      <c r="B61" s="19">
        <v>41699.0</v>
      </c>
      <c r="C61" s="20">
        <v>9.0</v>
      </c>
      <c r="D61" s="26">
        <v>60.0</v>
      </c>
      <c r="E61" s="9">
        <f>A63/31</f>
        <v>7381.483871</v>
      </c>
      <c r="F61" s="9">
        <f t="shared" si="8"/>
        <v>0.5</v>
      </c>
      <c r="G61" s="22">
        <f t="shared" si="9"/>
        <v>7102.474078</v>
      </c>
      <c r="H61" s="8"/>
      <c r="I61" s="9">
        <f t="shared" si="2"/>
        <v>9</v>
      </c>
      <c r="J61" s="8"/>
      <c r="K61" s="27"/>
      <c r="L61" s="9">
        <f t="shared" si="4"/>
        <v>42477.31967</v>
      </c>
      <c r="M61" s="27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28"/>
      <c r="B62" s="19">
        <v>41700.0</v>
      </c>
      <c r="C62" s="20">
        <v>9.0</v>
      </c>
      <c r="D62" s="26">
        <v>61.0</v>
      </c>
      <c r="E62" s="9">
        <f t="shared" ref="E62:E91" si="10">E61</f>
        <v>7381.483871</v>
      </c>
      <c r="F62" s="9">
        <f t="shared" si="8"/>
        <v>0.4642857143</v>
      </c>
      <c r="G62" s="22">
        <f t="shared" si="9"/>
        <v>7122.403349</v>
      </c>
      <c r="H62" s="8"/>
      <c r="I62" s="9">
        <f t="shared" si="2"/>
        <v>9</v>
      </c>
      <c r="J62" s="8"/>
      <c r="K62" s="27"/>
      <c r="L62" s="9">
        <f t="shared" si="4"/>
        <v>42477.31967</v>
      </c>
      <c r="M62" s="27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20">
        <v>228826.0</v>
      </c>
      <c r="B63" s="19">
        <v>41701.0</v>
      </c>
      <c r="C63" s="20">
        <v>9.0</v>
      </c>
      <c r="D63" s="26">
        <v>62.0</v>
      </c>
      <c r="E63" s="9">
        <f t="shared" si="10"/>
        <v>7381.483871</v>
      </c>
      <c r="F63" s="9">
        <f t="shared" si="8"/>
        <v>0.4285714286</v>
      </c>
      <c r="G63" s="22">
        <f t="shared" si="9"/>
        <v>7142.33262</v>
      </c>
      <c r="H63" s="8"/>
      <c r="I63" s="9">
        <f t="shared" si="2"/>
        <v>9</v>
      </c>
      <c r="J63" s="8"/>
      <c r="K63" s="27"/>
      <c r="L63" s="9">
        <f t="shared" si="4"/>
        <v>42477.31967</v>
      </c>
      <c r="M63" s="27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28"/>
      <c r="B64" s="19">
        <v>41702.0</v>
      </c>
      <c r="C64" s="20">
        <v>9.0</v>
      </c>
      <c r="D64" s="26">
        <v>63.0</v>
      </c>
      <c r="E64" s="9">
        <f t="shared" si="10"/>
        <v>7381.483871</v>
      </c>
      <c r="F64" s="9">
        <f t="shared" si="8"/>
        <v>0.3928571429</v>
      </c>
      <c r="G64" s="22">
        <f t="shared" si="9"/>
        <v>7162.261891</v>
      </c>
      <c r="H64" s="8"/>
      <c r="I64" s="9">
        <f t="shared" si="2"/>
        <v>9</v>
      </c>
      <c r="J64" s="8"/>
      <c r="K64" s="27"/>
      <c r="L64" s="9">
        <f t="shared" si="4"/>
        <v>42477.31967</v>
      </c>
      <c r="M64" s="27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28"/>
      <c r="B65" s="19">
        <v>41703.0</v>
      </c>
      <c r="C65" s="20">
        <v>10.0</v>
      </c>
      <c r="D65" s="26">
        <v>64.0</v>
      </c>
      <c r="E65" s="9">
        <f t="shared" si="10"/>
        <v>7381.483871</v>
      </c>
      <c r="F65" s="9">
        <f t="shared" si="8"/>
        <v>0.3571428571</v>
      </c>
      <c r="G65" s="22">
        <f t="shared" si="9"/>
        <v>7182.191162</v>
      </c>
      <c r="H65" s="8"/>
      <c r="I65" s="9">
        <f t="shared" si="2"/>
        <v>10</v>
      </c>
      <c r="J65" s="22">
        <f>SUM(G65:G71)</f>
        <v>50693.85282</v>
      </c>
      <c r="K65" s="24">
        <v>50693.85282</v>
      </c>
      <c r="L65" s="9">
        <f t="shared" si="4"/>
        <v>42477.31967</v>
      </c>
      <c r="M65" s="24">
        <v>42477.31967</v>
      </c>
      <c r="N65" s="25">
        <v>13083.73652</v>
      </c>
      <c r="O65" s="25">
        <v>11427.76816</v>
      </c>
      <c r="P65" s="25">
        <v>3141.584037</v>
      </c>
      <c r="Q65" s="25">
        <v>21163.77604</v>
      </c>
      <c r="R65" s="18"/>
      <c r="S65" s="25">
        <v>11227.78238</v>
      </c>
      <c r="T65" s="25">
        <v>10389.51059</v>
      </c>
      <c r="U65" s="25">
        <v>2484.590773</v>
      </c>
      <c r="V65" s="25">
        <v>18808.97202</v>
      </c>
      <c r="W65" s="25">
        <v>1855.95414</v>
      </c>
      <c r="X65" s="25">
        <v>1038.257562</v>
      </c>
      <c r="Y65" s="25">
        <v>656.9932644</v>
      </c>
      <c r="Z65" s="25">
        <v>2354.804016</v>
      </c>
    </row>
    <row r="66">
      <c r="A66" s="28"/>
      <c r="B66" s="19">
        <v>41704.0</v>
      </c>
      <c r="C66" s="20">
        <v>10.0</v>
      </c>
      <c r="D66" s="26">
        <v>65.0</v>
      </c>
      <c r="E66" s="9">
        <f t="shared" si="10"/>
        <v>7381.483871</v>
      </c>
      <c r="F66" s="9">
        <f t="shared" si="8"/>
        <v>0.3214285714</v>
      </c>
      <c r="G66" s="22">
        <f t="shared" si="9"/>
        <v>7202.120433</v>
      </c>
      <c r="H66" s="8"/>
      <c r="I66" s="9">
        <f t="shared" si="2"/>
        <v>10</v>
      </c>
      <c r="J66" s="8"/>
      <c r="K66" s="27"/>
      <c r="L66" s="9">
        <f t="shared" si="4"/>
        <v>42477.31967</v>
      </c>
      <c r="M66" s="27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28"/>
      <c r="B67" s="19">
        <v>41705.0</v>
      </c>
      <c r="C67" s="20">
        <v>10.0</v>
      </c>
      <c r="D67" s="26">
        <v>66.0</v>
      </c>
      <c r="E67" s="9">
        <f t="shared" si="10"/>
        <v>7381.483871</v>
      </c>
      <c r="F67" s="9">
        <f t="shared" si="8"/>
        <v>0.2857142857</v>
      </c>
      <c r="G67" s="22">
        <f t="shared" si="9"/>
        <v>7222.049704</v>
      </c>
      <c r="H67" s="8"/>
      <c r="I67" s="9">
        <f t="shared" si="2"/>
        <v>10</v>
      </c>
      <c r="J67" s="8"/>
      <c r="K67" s="27"/>
      <c r="L67" s="9">
        <f t="shared" si="4"/>
        <v>42477.31967</v>
      </c>
      <c r="M67" s="27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28"/>
      <c r="B68" s="19">
        <v>41706.0</v>
      </c>
      <c r="C68" s="20">
        <v>10.0</v>
      </c>
      <c r="D68" s="26">
        <v>67.0</v>
      </c>
      <c r="E68" s="9">
        <f t="shared" si="10"/>
        <v>7381.483871</v>
      </c>
      <c r="F68" s="9">
        <f t="shared" si="8"/>
        <v>0.25</v>
      </c>
      <c r="G68" s="22">
        <f t="shared" si="9"/>
        <v>7241.978975</v>
      </c>
      <c r="H68" s="8"/>
      <c r="I68" s="9">
        <f t="shared" si="2"/>
        <v>10</v>
      </c>
      <c r="J68" s="8"/>
      <c r="K68" s="27"/>
      <c r="L68" s="9">
        <f t="shared" si="4"/>
        <v>42477.31967</v>
      </c>
      <c r="M68" s="27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28"/>
      <c r="B69" s="19">
        <v>41707.0</v>
      </c>
      <c r="C69" s="20">
        <v>10.0</v>
      </c>
      <c r="D69" s="26">
        <v>68.0</v>
      </c>
      <c r="E69" s="9">
        <f t="shared" si="10"/>
        <v>7381.483871</v>
      </c>
      <c r="F69" s="9">
        <f t="shared" si="8"/>
        <v>0.2142857143</v>
      </c>
      <c r="G69" s="22">
        <f t="shared" si="9"/>
        <v>7261.908246</v>
      </c>
      <c r="H69" s="8"/>
      <c r="I69" s="9">
        <f t="shared" si="2"/>
        <v>10</v>
      </c>
      <c r="J69" s="8"/>
      <c r="K69" s="27"/>
      <c r="L69" s="9">
        <f t="shared" si="4"/>
        <v>42477.31967</v>
      </c>
      <c r="M69" s="27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28"/>
      <c r="B70" s="19">
        <v>41708.0</v>
      </c>
      <c r="C70" s="20">
        <v>10.0</v>
      </c>
      <c r="D70" s="26">
        <v>69.0</v>
      </c>
      <c r="E70" s="9">
        <f t="shared" si="10"/>
        <v>7381.483871</v>
      </c>
      <c r="F70" s="9">
        <f t="shared" si="8"/>
        <v>0.1785714286</v>
      </c>
      <c r="G70" s="22">
        <f t="shared" si="9"/>
        <v>7281.837516</v>
      </c>
      <c r="H70" s="8"/>
      <c r="I70" s="9">
        <f t="shared" si="2"/>
        <v>10</v>
      </c>
      <c r="J70" s="8"/>
      <c r="K70" s="27"/>
      <c r="L70" s="9">
        <f t="shared" si="4"/>
        <v>42477.31967</v>
      </c>
      <c r="M70" s="27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28"/>
      <c r="B71" s="19">
        <v>41709.0</v>
      </c>
      <c r="C71" s="20">
        <v>10.0</v>
      </c>
      <c r="D71" s="26">
        <v>70.0</v>
      </c>
      <c r="E71" s="9">
        <f t="shared" si="10"/>
        <v>7381.483871</v>
      </c>
      <c r="F71" s="9">
        <f t="shared" si="8"/>
        <v>0.1428571429</v>
      </c>
      <c r="G71" s="22">
        <f t="shared" si="9"/>
        <v>7301.766787</v>
      </c>
      <c r="H71" s="8"/>
      <c r="I71" s="9">
        <f t="shared" si="2"/>
        <v>10</v>
      </c>
      <c r="J71" s="8"/>
      <c r="K71" s="27"/>
      <c r="L71" s="9">
        <f t="shared" si="4"/>
        <v>42477.31967</v>
      </c>
      <c r="M71" s="27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28"/>
      <c r="B72" s="19">
        <v>41710.0</v>
      </c>
      <c r="C72" s="20">
        <v>11.0</v>
      </c>
      <c r="D72" s="26">
        <v>71.0</v>
      </c>
      <c r="E72" s="9">
        <f t="shared" si="10"/>
        <v>7381.483871</v>
      </c>
      <c r="F72" s="9">
        <f t="shared" si="8"/>
        <v>0.1071428571</v>
      </c>
      <c r="G72" s="22">
        <f t="shared" si="9"/>
        <v>7321.696058</v>
      </c>
      <c r="H72" s="8"/>
      <c r="I72" s="9">
        <f t="shared" si="2"/>
        <v>11</v>
      </c>
      <c r="J72" s="22">
        <f>SUM(G72:G78)</f>
        <v>51462.22104</v>
      </c>
      <c r="K72" s="24">
        <v>51462.22104</v>
      </c>
      <c r="L72" s="9">
        <f t="shared" si="4"/>
        <v>42477.31967</v>
      </c>
      <c r="M72" s="24">
        <v>42477.31967</v>
      </c>
      <c r="N72" s="25">
        <v>14010.09013</v>
      </c>
      <c r="O72" s="25">
        <v>11897.09051</v>
      </c>
      <c r="P72" s="25">
        <v>3037.055234</v>
      </c>
      <c r="Q72" s="25">
        <v>23494.01656</v>
      </c>
      <c r="R72" s="18"/>
      <c r="S72" s="25">
        <v>11648.63608</v>
      </c>
      <c r="T72" s="25">
        <v>9859.009546</v>
      </c>
      <c r="U72" s="25">
        <v>2589.358076</v>
      </c>
      <c r="V72" s="25">
        <v>18639.65861</v>
      </c>
      <c r="W72" s="25">
        <v>2361.454052</v>
      </c>
      <c r="X72" s="25">
        <v>2038.080968</v>
      </c>
      <c r="Y72" s="25">
        <v>447.6971583</v>
      </c>
      <c r="Z72" s="25">
        <v>4854.357949</v>
      </c>
    </row>
    <row r="73">
      <c r="A73" s="28"/>
      <c r="B73" s="19">
        <v>41711.0</v>
      </c>
      <c r="C73" s="20">
        <v>11.0</v>
      </c>
      <c r="D73" s="26">
        <v>72.0</v>
      </c>
      <c r="E73" s="9">
        <f t="shared" si="10"/>
        <v>7381.483871</v>
      </c>
      <c r="F73" s="9">
        <f t="shared" si="8"/>
        <v>0.07142857143</v>
      </c>
      <c r="G73" s="22">
        <f t="shared" si="9"/>
        <v>7341.625329</v>
      </c>
      <c r="H73" s="8"/>
      <c r="I73" s="9">
        <f t="shared" si="2"/>
        <v>11</v>
      </c>
      <c r="J73" s="8"/>
      <c r="K73" s="27"/>
      <c r="L73" s="9">
        <f t="shared" si="4"/>
        <v>42477.31967</v>
      </c>
      <c r="M73" s="27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28"/>
      <c r="B74" s="19">
        <v>41712.0</v>
      </c>
      <c r="C74" s="20">
        <v>11.0</v>
      </c>
      <c r="D74" s="26">
        <v>73.0</v>
      </c>
      <c r="E74" s="9">
        <f t="shared" si="10"/>
        <v>7381.483871</v>
      </c>
      <c r="F74" s="9">
        <f t="shared" si="8"/>
        <v>0.03571428571</v>
      </c>
      <c r="G74" s="22">
        <f t="shared" si="9"/>
        <v>7361.5546</v>
      </c>
      <c r="H74" s="8"/>
      <c r="I74" s="9">
        <f t="shared" si="2"/>
        <v>11</v>
      </c>
      <c r="J74" s="8"/>
      <c r="K74" s="27"/>
      <c r="L74" s="9">
        <f t="shared" si="4"/>
        <v>42477.31967</v>
      </c>
      <c r="M74" s="27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28"/>
      <c r="B75" s="19">
        <v>41713.0</v>
      </c>
      <c r="C75" s="20">
        <v>11.0</v>
      </c>
      <c r="D75" s="26">
        <v>74.0</v>
      </c>
      <c r="E75" s="9">
        <f t="shared" si="10"/>
        <v>7381.483871</v>
      </c>
      <c r="F75" s="9">
        <v>0.0</v>
      </c>
      <c r="G75" s="22">
        <f t="shared" si="9"/>
        <v>7381.483871</v>
      </c>
      <c r="H75" s="8"/>
      <c r="I75" s="9">
        <f t="shared" si="2"/>
        <v>11</v>
      </c>
      <c r="J75" s="8"/>
      <c r="K75" s="27"/>
      <c r="L75" s="9">
        <f t="shared" si="4"/>
        <v>42477.31967</v>
      </c>
      <c r="M75" s="27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28"/>
      <c r="B76" s="19">
        <v>41714.0</v>
      </c>
      <c r="C76" s="20">
        <v>11.0</v>
      </c>
      <c r="D76" s="26">
        <v>75.0</v>
      </c>
      <c r="E76" s="9">
        <f t="shared" si="10"/>
        <v>7381.483871</v>
      </c>
      <c r="F76" s="9">
        <f t="shared" ref="F76:F105" si="11">abs((D76-105)/(105-74))</f>
        <v>0.9677419355</v>
      </c>
      <c r="G76" s="22">
        <f t="shared" ref="G76:G105" si="12">E61*F76+(1-F76)*E92</f>
        <v>7366.7188</v>
      </c>
      <c r="H76" s="8"/>
      <c r="I76" s="9">
        <f t="shared" si="2"/>
        <v>11</v>
      </c>
      <c r="J76" s="8"/>
      <c r="K76" s="27"/>
      <c r="L76" s="9">
        <f t="shared" si="4"/>
        <v>42477.31967</v>
      </c>
      <c r="M76" s="27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3"/>
      <c r="B77" s="19">
        <v>41715.0</v>
      </c>
      <c r="C77" s="20">
        <v>11.0</v>
      </c>
      <c r="D77" s="26">
        <v>76.0</v>
      </c>
      <c r="E77" s="9">
        <f t="shared" si="10"/>
        <v>7381.483871</v>
      </c>
      <c r="F77" s="9">
        <f t="shared" si="11"/>
        <v>0.935483871</v>
      </c>
      <c r="G77" s="22">
        <f t="shared" si="12"/>
        <v>7351.953729</v>
      </c>
      <c r="H77" s="8"/>
      <c r="I77" s="9">
        <f t="shared" si="2"/>
        <v>11</v>
      </c>
      <c r="J77" s="8"/>
      <c r="K77" s="27"/>
      <c r="L77" s="9">
        <f t="shared" si="4"/>
        <v>42477.31967</v>
      </c>
      <c r="M77" s="27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3"/>
      <c r="B78" s="19">
        <v>41716.0</v>
      </c>
      <c r="C78" s="20">
        <v>11.0</v>
      </c>
      <c r="D78" s="26">
        <v>77.0</v>
      </c>
      <c r="E78" s="9">
        <f t="shared" si="10"/>
        <v>7381.483871</v>
      </c>
      <c r="F78" s="9">
        <f t="shared" si="11"/>
        <v>0.9032258065</v>
      </c>
      <c r="G78" s="22">
        <f t="shared" si="12"/>
        <v>7337.188658</v>
      </c>
      <c r="H78" s="8"/>
      <c r="I78" s="9">
        <f t="shared" si="2"/>
        <v>11</v>
      </c>
      <c r="J78" s="8"/>
      <c r="K78" s="27"/>
      <c r="L78" s="9">
        <f t="shared" si="4"/>
        <v>42477.31967</v>
      </c>
      <c r="M78" s="27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28"/>
      <c r="B79" s="19">
        <v>41717.0</v>
      </c>
      <c r="C79" s="20">
        <v>12.0</v>
      </c>
      <c r="D79" s="26">
        <v>78.0</v>
      </c>
      <c r="E79" s="9">
        <f t="shared" si="10"/>
        <v>7381.483871</v>
      </c>
      <c r="F79" s="9">
        <f t="shared" si="11"/>
        <v>0.8709677419</v>
      </c>
      <c r="G79" s="22">
        <f t="shared" si="12"/>
        <v>7322.423587</v>
      </c>
      <c r="H79" s="8"/>
      <c r="I79" s="9">
        <f t="shared" si="2"/>
        <v>12</v>
      </c>
      <c r="J79" s="22">
        <f>SUM(G79:G85)</f>
        <v>50946.89861</v>
      </c>
      <c r="K79" s="24">
        <v>50946.89861</v>
      </c>
      <c r="L79" s="9">
        <f t="shared" si="4"/>
        <v>42477.31967</v>
      </c>
      <c r="M79" s="24">
        <v>42477.31967</v>
      </c>
      <c r="N79" s="25">
        <v>13329.00392</v>
      </c>
      <c r="O79" s="25">
        <v>12585.55936</v>
      </c>
      <c r="P79" s="25">
        <v>3095.725459</v>
      </c>
      <c r="Q79" s="25">
        <v>21621.27399</v>
      </c>
      <c r="R79" s="18"/>
      <c r="S79" s="25">
        <v>11326.38795</v>
      </c>
      <c r="T79" s="25">
        <v>9966.633161</v>
      </c>
      <c r="U79" s="25">
        <v>2599.814868</v>
      </c>
      <c r="V79" s="25">
        <v>18789.70411</v>
      </c>
      <c r="W79" s="25">
        <v>2002.615973</v>
      </c>
      <c r="X79" s="25">
        <v>2618.926197</v>
      </c>
      <c r="Y79" s="25">
        <v>495.9105913</v>
      </c>
      <c r="Z79" s="25">
        <v>2831.569882</v>
      </c>
    </row>
    <row r="80">
      <c r="A80" s="28"/>
      <c r="B80" s="19">
        <v>41718.0</v>
      </c>
      <c r="C80" s="20">
        <v>12.0</v>
      </c>
      <c r="D80" s="26">
        <v>79.0</v>
      </c>
      <c r="E80" s="9">
        <f t="shared" si="10"/>
        <v>7381.483871</v>
      </c>
      <c r="F80" s="9">
        <f t="shared" si="11"/>
        <v>0.8387096774</v>
      </c>
      <c r="G80" s="22">
        <f t="shared" si="12"/>
        <v>7307.658515</v>
      </c>
      <c r="H80" s="8"/>
      <c r="I80" s="9">
        <f t="shared" si="2"/>
        <v>12</v>
      </c>
      <c r="J80" s="8"/>
      <c r="K80" s="27"/>
      <c r="L80" s="9">
        <f t="shared" si="4"/>
        <v>42477.31967</v>
      </c>
      <c r="M80" s="27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28"/>
      <c r="B81" s="19">
        <v>41719.0</v>
      </c>
      <c r="C81" s="20">
        <v>12.0</v>
      </c>
      <c r="D81" s="26">
        <v>80.0</v>
      </c>
      <c r="E81" s="9">
        <f t="shared" si="10"/>
        <v>7381.483871</v>
      </c>
      <c r="F81" s="9">
        <f t="shared" si="11"/>
        <v>0.8064516129</v>
      </c>
      <c r="G81" s="22">
        <f t="shared" si="12"/>
        <v>7292.893444</v>
      </c>
      <c r="H81" s="8"/>
      <c r="I81" s="9">
        <f t="shared" si="2"/>
        <v>12</v>
      </c>
      <c r="J81" s="8"/>
      <c r="K81" s="27"/>
      <c r="L81" s="9">
        <f t="shared" si="4"/>
        <v>42477.31967</v>
      </c>
      <c r="M81" s="27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28"/>
      <c r="B82" s="19">
        <v>41720.0</v>
      </c>
      <c r="C82" s="20">
        <v>12.0</v>
      </c>
      <c r="D82" s="26">
        <v>81.0</v>
      </c>
      <c r="E82" s="9">
        <f t="shared" si="10"/>
        <v>7381.483871</v>
      </c>
      <c r="F82" s="9">
        <f t="shared" si="11"/>
        <v>0.7741935484</v>
      </c>
      <c r="G82" s="22">
        <f t="shared" si="12"/>
        <v>7278.128373</v>
      </c>
      <c r="H82" s="8"/>
      <c r="I82" s="9">
        <f t="shared" si="2"/>
        <v>12</v>
      </c>
      <c r="J82" s="8"/>
      <c r="K82" s="27"/>
      <c r="L82" s="9">
        <f t="shared" si="4"/>
        <v>42477.31967</v>
      </c>
      <c r="M82" s="27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28"/>
      <c r="B83" s="19">
        <v>41721.0</v>
      </c>
      <c r="C83" s="20">
        <v>12.0</v>
      </c>
      <c r="D83" s="26">
        <v>82.0</v>
      </c>
      <c r="E83" s="9">
        <f t="shared" si="10"/>
        <v>7381.483871</v>
      </c>
      <c r="F83" s="9">
        <f t="shared" si="11"/>
        <v>0.7419354839</v>
      </c>
      <c r="G83" s="22">
        <f t="shared" si="12"/>
        <v>7263.363302</v>
      </c>
      <c r="H83" s="8"/>
      <c r="I83" s="9">
        <f t="shared" si="2"/>
        <v>12</v>
      </c>
      <c r="J83" s="8"/>
      <c r="K83" s="27"/>
      <c r="L83" s="9">
        <f t="shared" si="4"/>
        <v>42477.31967</v>
      </c>
      <c r="M83" s="27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28"/>
      <c r="B84" s="19">
        <v>41722.0</v>
      </c>
      <c r="C84" s="20">
        <v>12.0</v>
      </c>
      <c r="D84" s="26">
        <v>83.0</v>
      </c>
      <c r="E84" s="9">
        <f t="shared" si="10"/>
        <v>7381.483871</v>
      </c>
      <c r="F84" s="9">
        <f t="shared" si="11"/>
        <v>0.7096774194</v>
      </c>
      <c r="G84" s="22">
        <f t="shared" si="12"/>
        <v>7248.598231</v>
      </c>
      <c r="H84" s="8"/>
      <c r="I84" s="9">
        <f t="shared" si="2"/>
        <v>12</v>
      </c>
      <c r="J84" s="8"/>
      <c r="K84" s="27"/>
      <c r="L84" s="9">
        <f t="shared" si="4"/>
        <v>42477.31967</v>
      </c>
      <c r="M84" s="27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28"/>
      <c r="B85" s="19">
        <v>41723.0</v>
      </c>
      <c r="C85" s="20">
        <v>12.0</v>
      </c>
      <c r="D85" s="26">
        <v>84.0</v>
      </c>
      <c r="E85" s="9">
        <f t="shared" si="10"/>
        <v>7381.483871</v>
      </c>
      <c r="F85" s="9">
        <f t="shared" si="11"/>
        <v>0.6774193548</v>
      </c>
      <c r="G85" s="22">
        <f t="shared" si="12"/>
        <v>7233.83316</v>
      </c>
      <c r="H85" s="8"/>
      <c r="I85" s="9">
        <f t="shared" si="2"/>
        <v>12</v>
      </c>
      <c r="J85" s="8"/>
      <c r="K85" s="27"/>
      <c r="L85" s="9">
        <f t="shared" si="4"/>
        <v>42477.31967</v>
      </c>
      <c r="M85" s="27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28"/>
      <c r="B86" s="19">
        <v>41724.0</v>
      </c>
      <c r="C86" s="20">
        <v>13.0</v>
      </c>
      <c r="D86" s="26">
        <v>85.0</v>
      </c>
      <c r="E86" s="9">
        <f t="shared" si="10"/>
        <v>7381.483871</v>
      </c>
      <c r="F86" s="9">
        <f t="shared" si="11"/>
        <v>0.6451612903</v>
      </c>
      <c r="G86" s="22">
        <f t="shared" si="12"/>
        <v>7219.068089</v>
      </c>
      <c r="H86" s="8"/>
      <c r="I86" s="9">
        <f t="shared" si="2"/>
        <v>13</v>
      </c>
      <c r="J86" s="22">
        <f>SUM(G86:G92)</f>
        <v>50223.41013</v>
      </c>
      <c r="K86" s="24">
        <v>50223.41013</v>
      </c>
      <c r="L86" s="9">
        <f t="shared" si="4"/>
        <v>42477.31967</v>
      </c>
      <c r="M86" s="24">
        <v>42477.31967</v>
      </c>
      <c r="N86" s="25">
        <v>12968.06005</v>
      </c>
      <c r="O86" s="25">
        <v>12146.53028</v>
      </c>
      <c r="P86" s="25">
        <v>3021.428148</v>
      </c>
      <c r="Q86" s="25">
        <v>21854.21653</v>
      </c>
      <c r="R86" s="18"/>
      <c r="S86" s="25">
        <v>11779.68342</v>
      </c>
      <c r="T86" s="25">
        <v>9795.464186</v>
      </c>
      <c r="U86" s="25">
        <v>2660.669404</v>
      </c>
      <c r="V86" s="25">
        <v>17865.40513</v>
      </c>
      <c r="W86" s="25">
        <v>1188.37663</v>
      </c>
      <c r="X86" s="25">
        <v>2351.066099</v>
      </c>
      <c r="Y86" s="25">
        <v>360.7587435</v>
      </c>
      <c r="Z86" s="25">
        <v>3988.811399</v>
      </c>
    </row>
    <row r="87">
      <c r="A87" s="28"/>
      <c r="B87" s="19">
        <v>41725.0</v>
      </c>
      <c r="C87" s="20">
        <v>13.0</v>
      </c>
      <c r="D87" s="26">
        <v>86.0</v>
      </c>
      <c r="E87" s="9">
        <f t="shared" si="10"/>
        <v>7381.483871</v>
      </c>
      <c r="F87" s="9">
        <f t="shared" si="11"/>
        <v>0.6129032258</v>
      </c>
      <c r="G87" s="22">
        <f t="shared" si="12"/>
        <v>7204.303018</v>
      </c>
      <c r="H87" s="8"/>
      <c r="I87" s="9">
        <f t="shared" si="2"/>
        <v>13</v>
      </c>
      <c r="J87" s="8"/>
      <c r="K87" s="27"/>
      <c r="L87" s="9">
        <f t="shared" si="4"/>
        <v>42477.31967</v>
      </c>
      <c r="M87" s="27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28"/>
      <c r="B88" s="19">
        <v>41726.0</v>
      </c>
      <c r="C88" s="20">
        <v>13.0</v>
      </c>
      <c r="D88" s="26">
        <v>87.0</v>
      </c>
      <c r="E88" s="9">
        <f t="shared" si="10"/>
        <v>7381.483871</v>
      </c>
      <c r="F88" s="9">
        <f t="shared" si="11"/>
        <v>0.5806451613</v>
      </c>
      <c r="G88" s="22">
        <f t="shared" si="12"/>
        <v>7189.537947</v>
      </c>
      <c r="H88" s="8"/>
      <c r="I88" s="9">
        <f t="shared" si="2"/>
        <v>13</v>
      </c>
      <c r="J88" s="8"/>
      <c r="K88" s="27"/>
      <c r="L88" s="9">
        <f t="shared" si="4"/>
        <v>42477.31967</v>
      </c>
      <c r="M88" s="27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28"/>
      <c r="B89" s="19">
        <v>41727.0</v>
      </c>
      <c r="C89" s="20">
        <v>13.0</v>
      </c>
      <c r="D89" s="26">
        <v>88.0</v>
      </c>
      <c r="E89" s="9">
        <f t="shared" si="10"/>
        <v>7381.483871</v>
      </c>
      <c r="F89" s="9">
        <f t="shared" si="11"/>
        <v>0.5483870968</v>
      </c>
      <c r="G89" s="22">
        <f t="shared" si="12"/>
        <v>7174.772875</v>
      </c>
      <c r="H89" s="8"/>
      <c r="I89" s="9">
        <f t="shared" si="2"/>
        <v>13</v>
      </c>
      <c r="J89" s="8"/>
      <c r="K89" s="27"/>
      <c r="L89" s="9">
        <f t="shared" si="4"/>
        <v>42477.31967</v>
      </c>
      <c r="M89" s="27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28"/>
      <c r="B90" s="19">
        <v>41728.0</v>
      </c>
      <c r="C90" s="20">
        <v>13.0</v>
      </c>
      <c r="D90" s="26">
        <v>89.0</v>
      </c>
      <c r="E90" s="9">
        <f t="shared" si="10"/>
        <v>7381.483871</v>
      </c>
      <c r="F90" s="9">
        <f t="shared" si="11"/>
        <v>0.5161290323</v>
      </c>
      <c r="G90" s="22">
        <f t="shared" si="12"/>
        <v>7160.007804</v>
      </c>
      <c r="H90" s="8"/>
      <c r="I90" s="9">
        <f t="shared" si="2"/>
        <v>13</v>
      </c>
      <c r="J90" s="8"/>
      <c r="K90" s="27"/>
      <c r="L90" s="9">
        <f t="shared" si="4"/>
        <v>42477.31967</v>
      </c>
      <c r="M90" s="27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28"/>
      <c r="B91" s="19">
        <v>41729.0</v>
      </c>
      <c r="C91" s="20">
        <v>13.0</v>
      </c>
      <c r="D91" s="26">
        <v>90.0</v>
      </c>
      <c r="E91" s="9">
        <f t="shared" si="10"/>
        <v>7381.483871</v>
      </c>
      <c r="F91" s="9">
        <f t="shared" si="11"/>
        <v>0.4838709677</v>
      </c>
      <c r="G91" s="22">
        <f t="shared" si="12"/>
        <v>7145.242733</v>
      </c>
      <c r="H91" s="8"/>
      <c r="I91" s="9">
        <f t="shared" si="2"/>
        <v>13</v>
      </c>
      <c r="J91" s="8"/>
      <c r="K91" s="27"/>
      <c r="L91" s="9">
        <f t="shared" si="4"/>
        <v>42477.31967</v>
      </c>
      <c r="M91" s="27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28"/>
      <c r="B92" s="19">
        <v>41730.0</v>
      </c>
      <c r="C92" s="20">
        <v>13.0</v>
      </c>
      <c r="D92" s="26">
        <v>91.0</v>
      </c>
      <c r="E92" s="9">
        <f>A94/30</f>
        <v>6923.766667</v>
      </c>
      <c r="F92" s="9">
        <f t="shared" si="11"/>
        <v>0.4516129032</v>
      </c>
      <c r="G92" s="22">
        <f t="shared" si="12"/>
        <v>7130.477662</v>
      </c>
      <c r="H92" s="8"/>
      <c r="I92" s="9">
        <f t="shared" si="2"/>
        <v>13</v>
      </c>
      <c r="J92" s="8"/>
      <c r="K92" s="27"/>
      <c r="L92" s="9">
        <f t="shared" si="4"/>
        <v>42477.31967</v>
      </c>
      <c r="M92" s="27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3" t="s">
        <v>67</v>
      </c>
      <c r="B93" s="19">
        <v>41731.0</v>
      </c>
      <c r="C93" s="20">
        <v>14.0</v>
      </c>
      <c r="D93" s="26">
        <v>92.0</v>
      </c>
      <c r="E93" s="9">
        <f>A94/30</f>
        <v>6923.766667</v>
      </c>
      <c r="F93" s="9">
        <f t="shared" si="11"/>
        <v>0.4193548387</v>
      </c>
      <c r="G93" s="22">
        <f t="shared" si="12"/>
        <v>7115.712591</v>
      </c>
      <c r="H93" s="8"/>
      <c r="I93" s="9">
        <f t="shared" si="2"/>
        <v>14</v>
      </c>
      <c r="J93" s="22">
        <f>SUM(G93:G99)</f>
        <v>49499.92164</v>
      </c>
      <c r="K93" s="24">
        <v>49499.92164</v>
      </c>
      <c r="L93" s="9">
        <f t="shared" si="4"/>
        <v>42477.31967</v>
      </c>
      <c r="M93" s="24">
        <v>42477.31967</v>
      </c>
      <c r="N93" s="25">
        <v>12972.75805</v>
      </c>
      <c r="O93" s="25">
        <v>11415.59521</v>
      </c>
      <c r="P93" s="25">
        <v>2930.139577</v>
      </c>
      <c r="Q93" s="25">
        <v>22620.06327</v>
      </c>
      <c r="R93" s="18"/>
      <c r="S93" s="25">
        <v>11120.67148</v>
      </c>
      <c r="T93" s="25">
        <v>10360.98946</v>
      </c>
      <c r="U93" s="25">
        <v>2543.754798</v>
      </c>
      <c r="V93" s="25">
        <v>18753.44273</v>
      </c>
      <c r="W93" s="25">
        <v>1852.086578</v>
      </c>
      <c r="X93" s="25">
        <v>1054.60575</v>
      </c>
      <c r="Y93" s="25">
        <v>386.3847796</v>
      </c>
      <c r="Z93" s="25">
        <v>3866.620542</v>
      </c>
    </row>
    <row r="94">
      <c r="A94" s="20">
        <v>207713.0</v>
      </c>
      <c r="B94" s="19">
        <v>41732.0</v>
      </c>
      <c r="C94" s="20">
        <v>14.0</v>
      </c>
      <c r="D94" s="26">
        <v>93.0</v>
      </c>
      <c r="E94" s="9">
        <f t="shared" ref="E94:E121" si="13">E93</f>
        <v>6923.766667</v>
      </c>
      <c r="F94" s="9">
        <f t="shared" si="11"/>
        <v>0.3870967742</v>
      </c>
      <c r="G94" s="22">
        <f t="shared" si="12"/>
        <v>7100.94752</v>
      </c>
      <c r="H94" s="8"/>
      <c r="I94" s="9">
        <f t="shared" si="2"/>
        <v>14</v>
      </c>
      <c r="J94" s="8"/>
      <c r="K94" s="27"/>
      <c r="L94" s="9">
        <f t="shared" si="4"/>
        <v>42477.31967</v>
      </c>
      <c r="M94" s="27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28"/>
      <c r="B95" s="19">
        <v>41733.0</v>
      </c>
      <c r="C95" s="20">
        <v>14.0</v>
      </c>
      <c r="D95" s="26">
        <v>94.0</v>
      </c>
      <c r="E95" s="9">
        <f t="shared" si="13"/>
        <v>6923.766667</v>
      </c>
      <c r="F95" s="9">
        <f t="shared" si="11"/>
        <v>0.3548387097</v>
      </c>
      <c r="G95" s="22">
        <f t="shared" si="12"/>
        <v>7086.182449</v>
      </c>
      <c r="H95" s="8"/>
      <c r="I95" s="9">
        <f t="shared" si="2"/>
        <v>14</v>
      </c>
      <c r="J95" s="8"/>
      <c r="K95" s="27"/>
      <c r="L95" s="9">
        <f t="shared" si="4"/>
        <v>42477.31967</v>
      </c>
      <c r="M95" s="27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28"/>
      <c r="B96" s="19">
        <v>41734.0</v>
      </c>
      <c r="C96" s="20">
        <v>14.0</v>
      </c>
      <c r="D96" s="26">
        <v>95.0</v>
      </c>
      <c r="E96" s="9">
        <f t="shared" si="13"/>
        <v>6923.766667</v>
      </c>
      <c r="F96" s="9">
        <f t="shared" si="11"/>
        <v>0.3225806452</v>
      </c>
      <c r="G96" s="22">
        <f t="shared" si="12"/>
        <v>7071.417378</v>
      </c>
      <c r="H96" s="8"/>
      <c r="I96" s="9">
        <f t="shared" si="2"/>
        <v>14</v>
      </c>
      <c r="J96" s="8"/>
      <c r="K96" s="27"/>
      <c r="L96" s="9">
        <f t="shared" si="4"/>
        <v>42477.31967</v>
      </c>
      <c r="M96" s="27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28"/>
      <c r="B97" s="19">
        <v>41735.0</v>
      </c>
      <c r="C97" s="20">
        <v>14.0</v>
      </c>
      <c r="D97" s="26">
        <v>96.0</v>
      </c>
      <c r="E97" s="9">
        <f t="shared" si="13"/>
        <v>6923.766667</v>
      </c>
      <c r="F97" s="9">
        <f t="shared" si="11"/>
        <v>0.2903225806</v>
      </c>
      <c r="G97" s="22">
        <f t="shared" si="12"/>
        <v>7056.652307</v>
      </c>
      <c r="H97" s="8"/>
      <c r="I97" s="9">
        <f t="shared" si="2"/>
        <v>14</v>
      </c>
      <c r="J97" s="8"/>
      <c r="K97" s="27"/>
      <c r="L97" s="9">
        <f t="shared" si="4"/>
        <v>42477.31967</v>
      </c>
      <c r="M97" s="27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28"/>
      <c r="B98" s="19">
        <v>41736.0</v>
      </c>
      <c r="C98" s="20">
        <v>14.0</v>
      </c>
      <c r="D98" s="26">
        <v>97.0</v>
      </c>
      <c r="E98" s="9">
        <f t="shared" si="13"/>
        <v>6923.766667</v>
      </c>
      <c r="F98" s="9">
        <f t="shared" si="11"/>
        <v>0.2580645161</v>
      </c>
      <c r="G98" s="22">
        <f t="shared" si="12"/>
        <v>7041.887236</v>
      </c>
      <c r="H98" s="8"/>
      <c r="I98" s="9">
        <f t="shared" si="2"/>
        <v>14</v>
      </c>
      <c r="J98" s="8"/>
      <c r="K98" s="27"/>
      <c r="L98" s="9">
        <f t="shared" si="4"/>
        <v>42477.31967</v>
      </c>
      <c r="M98" s="27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28"/>
      <c r="B99" s="19">
        <v>41737.0</v>
      </c>
      <c r="C99" s="20">
        <v>14.0</v>
      </c>
      <c r="D99" s="26">
        <v>98.0</v>
      </c>
      <c r="E99" s="9">
        <f t="shared" si="13"/>
        <v>6923.766667</v>
      </c>
      <c r="F99" s="9">
        <f t="shared" si="11"/>
        <v>0.2258064516</v>
      </c>
      <c r="G99" s="22">
        <f t="shared" si="12"/>
        <v>7027.122164</v>
      </c>
      <c r="H99" s="8"/>
      <c r="I99" s="9">
        <f t="shared" si="2"/>
        <v>14</v>
      </c>
      <c r="J99" s="8"/>
      <c r="K99" s="27"/>
      <c r="L99" s="9">
        <f t="shared" si="4"/>
        <v>42477.31967</v>
      </c>
      <c r="M99" s="27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28"/>
      <c r="B100" s="19">
        <v>41738.0</v>
      </c>
      <c r="C100" s="20">
        <v>15.0</v>
      </c>
      <c r="D100" s="26">
        <v>99.0</v>
      </c>
      <c r="E100" s="9">
        <f t="shared" si="13"/>
        <v>6923.766667</v>
      </c>
      <c r="F100" s="9">
        <f t="shared" si="11"/>
        <v>0.1935483871</v>
      </c>
      <c r="G100" s="22">
        <f t="shared" si="12"/>
        <v>7012.357093</v>
      </c>
      <c r="H100" s="8"/>
      <c r="I100" s="9">
        <f t="shared" si="2"/>
        <v>15</v>
      </c>
      <c r="J100" s="22">
        <f>SUM(G100:G106)</f>
        <v>48776.43316</v>
      </c>
      <c r="K100" s="24">
        <v>48776.43316</v>
      </c>
      <c r="L100" s="9">
        <f t="shared" si="4"/>
        <v>42477.31967</v>
      </c>
      <c r="M100" s="24">
        <v>42477.31967</v>
      </c>
      <c r="N100" s="25">
        <v>13304.68254</v>
      </c>
      <c r="O100" s="25">
        <v>11527.21391</v>
      </c>
      <c r="P100" s="25">
        <v>2846.748527</v>
      </c>
      <c r="Q100" s="25">
        <v>22055.5039</v>
      </c>
      <c r="R100" s="18"/>
      <c r="S100" s="25">
        <v>10924.85426</v>
      </c>
      <c r="T100" s="25">
        <v>10503.31888</v>
      </c>
      <c r="U100" s="25">
        <v>2692.494091</v>
      </c>
      <c r="V100" s="25">
        <v>18266.44849</v>
      </c>
      <c r="W100" s="25">
        <v>2379.828277</v>
      </c>
      <c r="X100" s="25">
        <v>1023.895035</v>
      </c>
      <c r="Y100" s="25">
        <v>154.2544361</v>
      </c>
      <c r="Z100" s="25">
        <v>3789.055411</v>
      </c>
    </row>
    <row r="101">
      <c r="A101" s="28"/>
      <c r="B101" s="19">
        <v>41739.0</v>
      </c>
      <c r="C101" s="20">
        <v>15.0</v>
      </c>
      <c r="D101" s="26">
        <v>100.0</v>
      </c>
      <c r="E101" s="9">
        <f t="shared" si="13"/>
        <v>6923.766667</v>
      </c>
      <c r="F101" s="9">
        <f t="shared" si="11"/>
        <v>0.1612903226</v>
      </c>
      <c r="G101" s="22">
        <f t="shared" si="12"/>
        <v>6997.592022</v>
      </c>
      <c r="H101" s="8"/>
      <c r="I101" s="9">
        <f t="shared" si="2"/>
        <v>15</v>
      </c>
      <c r="J101" s="8"/>
      <c r="K101" s="27"/>
      <c r="L101" s="9">
        <f t="shared" si="4"/>
        <v>42477.31967</v>
      </c>
      <c r="M101" s="27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28"/>
      <c r="B102" s="19">
        <v>41740.0</v>
      </c>
      <c r="C102" s="20">
        <v>15.0</v>
      </c>
      <c r="D102" s="26">
        <v>101.0</v>
      </c>
      <c r="E102" s="9">
        <f t="shared" si="13"/>
        <v>6923.766667</v>
      </c>
      <c r="F102" s="9">
        <f t="shared" si="11"/>
        <v>0.1290322581</v>
      </c>
      <c r="G102" s="22">
        <f t="shared" si="12"/>
        <v>6982.826951</v>
      </c>
      <c r="H102" s="8"/>
      <c r="I102" s="9">
        <f t="shared" si="2"/>
        <v>15</v>
      </c>
      <c r="J102" s="8"/>
      <c r="K102" s="27"/>
      <c r="L102" s="9">
        <f t="shared" si="4"/>
        <v>42477.31967</v>
      </c>
      <c r="M102" s="27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28"/>
      <c r="B103" s="19">
        <v>41741.0</v>
      </c>
      <c r="C103" s="20">
        <v>15.0</v>
      </c>
      <c r="D103" s="26">
        <v>102.0</v>
      </c>
      <c r="E103" s="9">
        <f t="shared" si="13"/>
        <v>6923.766667</v>
      </c>
      <c r="F103" s="9">
        <f t="shared" si="11"/>
        <v>0.09677419355</v>
      </c>
      <c r="G103" s="22">
        <f t="shared" si="12"/>
        <v>6968.06188</v>
      </c>
      <c r="H103" s="8"/>
      <c r="I103" s="9">
        <f t="shared" si="2"/>
        <v>15</v>
      </c>
      <c r="J103" s="8"/>
      <c r="K103" s="27"/>
      <c r="L103" s="9">
        <f t="shared" si="4"/>
        <v>42477.31967</v>
      </c>
      <c r="M103" s="27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28"/>
      <c r="B104" s="19">
        <v>41742.0</v>
      </c>
      <c r="C104" s="20">
        <v>15.0</v>
      </c>
      <c r="D104" s="26">
        <v>103.0</v>
      </c>
      <c r="E104" s="9">
        <f t="shared" si="13"/>
        <v>6923.766667</v>
      </c>
      <c r="F104" s="9">
        <f t="shared" si="11"/>
        <v>0.06451612903</v>
      </c>
      <c r="G104" s="22">
        <f t="shared" si="12"/>
        <v>6953.296809</v>
      </c>
      <c r="H104" s="8"/>
      <c r="I104" s="9">
        <f t="shared" si="2"/>
        <v>15</v>
      </c>
      <c r="J104" s="8"/>
      <c r="K104" s="27"/>
      <c r="L104" s="9">
        <f t="shared" si="4"/>
        <v>42477.31967</v>
      </c>
      <c r="M104" s="27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28"/>
      <c r="B105" s="19">
        <v>41743.0</v>
      </c>
      <c r="C105" s="20">
        <v>15.0</v>
      </c>
      <c r="D105" s="26">
        <v>104.0</v>
      </c>
      <c r="E105" s="9">
        <f t="shared" si="13"/>
        <v>6923.766667</v>
      </c>
      <c r="F105" s="9">
        <f t="shared" si="11"/>
        <v>0.03225806452</v>
      </c>
      <c r="G105" s="22">
        <f t="shared" si="12"/>
        <v>6938.531738</v>
      </c>
      <c r="H105" s="8"/>
      <c r="I105" s="9">
        <f t="shared" si="2"/>
        <v>15</v>
      </c>
      <c r="J105" s="8"/>
      <c r="K105" s="27"/>
      <c r="L105" s="9">
        <f t="shared" si="4"/>
        <v>42477.31967</v>
      </c>
      <c r="M105" s="27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28"/>
      <c r="B106" s="19">
        <v>41744.0</v>
      </c>
      <c r="C106" s="20">
        <v>15.0</v>
      </c>
      <c r="D106" s="26">
        <v>105.0</v>
      </c>
      <c r="E106" s="9">
        <f t="shared" si="13"/>
        <v>6923.766667</v>
      </c>
      <c r="F106" s="9">
        <f t="shared" ref="F106:F136" si="14">abs((D106-135)/(135-105))</f>
        <v>1</v>
      </c>
      <c r="G106" s="22">
        <f>E106</f>
        <v>6923.766667</v>
      </c>
      <c r="H106" s="8"/>
      <c r="I106" s="9">
        <f t="shared" si="2"/>
        <v>15</v>
      </c>
      <c r="J106" s="8"/>
      <c r="K106" s="27"/>
      <c r="L106" s="9">
        <f t="shared" si="4"/>
        <v>42477.31967</v>
      </c>
      <c r="M106" s="27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3"/>
      <c r="B107" s="19">
        <v>41745.0</v>
      </c>
      <c r="C107" s="20">
        <v>16.0</v>
      </c>
      <c r="D107" s="26">
        <v>106.0</v>
      </c>
      <c r="E107" s="9">
        <f t="shared" si="13"/>
        <v>6923.766667</v>
      </c>
      <c r="F107" s="9">
        <f t="shared" si="14"/>
        <v>0.9666666667</v>
      </c>
      <c r="G107" s="22">
        <f t="shared" ref="G107:G136" si="15">E92*F107+(1-F107)*E122</f>
        <v>6915.180896</v>
      </c>
      <c r="H107" s="8"/>
      <c r="I107" s="9">
        <f t="shared" si="2"/>
        <v>16</v>
      </c>
      <c r="J107" s="22">
        <f>SUM(G107:G113)</f>
        <v>48225.96509</v>
      </c>
      <c r="K107" s="24">
        <v>48225.96509</v>
      </c>
      <c r="L107" s="9">
        <f t="shared" si="4"/>
        <v>42477.31967</v>
      </c>
      <c r="M107" s="24">
        <v>42477.31967</v>
      </c>
      <c r="N107" s="25">
        <v>12777.90335</v>
      </c>
      <c r="O107" s="25">
        <v>11868.70461</v>
      </c>
      <c r="P107" s="25">
        <v>2942.159127</v>
      </c>
      <c r="Q107" s="25">
        <v>21541.32753</v>
      </c>
      <c r="R107" s="18"/>
      <c r="S107" s="25">
        <v>11131.7041</v>
      </c>
      <c r="T107" s="25">
        <v>9634.633384</v>
      </c>
      <c r="U107" s="25">
        <v>2576.494111</v>
      </c>
      <c r="V107" s="25">
        <v>19337.59321</v>
      </c>
      <c r="W107" s="25">
        <v>1646.199256</v>
      </c>
      <c r="X107" s="25">
        <v>2234.071222</v>
      </c>
      <c r="Y107" s="25">
        <v>365.6650163</v>
      </c>
      <c r="Z107" s="25">
        <v>2203.734321</v>
      </c>
    </row>
    <row r="108">
      <c r="A108" s="13"/>
      <c r="B108" s="19">
        <v>41746.0</v>
      </c>
      <c r="C108" s="20">
        <v>16.0</v>
      </c>
      <c r="D108" s="26">
        <v>107.0</v>
      </c>
      <c r="E108" s="9">
        <f t="shared" si="13"/>
        <v>6923.766667</v>
      </c>
      <c r="F108" s="9">
        <f t="shared" si="14"/>
        <v>0.9333333333</v>
      </c>
      <c r="G108" s="22">
        <f t="shared" si="15"/>
        <v>6906.595125</v>
      </c>
      <c r="H108" s="8"/>
      <c r="I108" s="9">
        <f t="shared" si="2"/>
        <v>16</v>
      </c>
      <c r="J108" s="8"/>
      <c r="K108" s="27"/>
      <c r="L108" s="9">
        <f t="shared" si="4"/>
        <v>42477.31967</v>
      </c>
      <c r="M108" s="27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28"/>
      <c r="B109" s="19">
        <v>41747.0</v>
      </c>
      <c r="C109" s="20">
        <v>16.0</v>
      </c>
      <c r="D109" s="26">
        <v>108.0</v>
      </c>
      <c r="E109" s="9">
        <f t="shared" si="13"/>
        <v>6923.766667</v>
      </c>
      <c r="F109" s="9">
        <f t="shared" si="14"/>
        <v>0.9</v>
      </c>
      <c r="G109" s="22">
        <f t="shared" si="15"/>
        <v>6898.009355</v>
      </c>
      <c r="H109" s="8"/>
      <c r="I109" s="9">
        <f t="shared" si="2"/>
        <v>16</v>
      </c>
      <c r="J109" s="8"/>
      <c r="K109" s="27"/>
      <c r="L109" s="9">
        <f t="shared" si="4"/>
        <v>42477.31967</v>
      </c>
      <c r="M109" s="27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28"/>
      <c r="B110" s="19">
        <v>41748.0</v>
      </c>
      <c r="C110" s="20">
        <v>16.0</v>
      </c>
      <c r="D110" s="26">
        <v>109.0</v>
      </c>
      <c r="E110" s="9">
        <f t="shared" si="13"/>
        <v>6923.766667</v>
      </c>
      <c r="F110" s="9">
        <f t="shared" si="14"/>
        <v>0.8666666667</v>
      </c>
      <c r="G110" s="22">
        <f t="shared" si="15"/>
        <v>6889.423584</v>
      </c>
      <c r="H110" s="8"/>
      <c r="I110" s="9">
        <f t="shared" si="2"/>
        <v>16</v>
      </c>
      <c r="J110" s="8"/>
      <c r="K110" s="27"/>
      <c r="L110" s="9">
        <f t="shared" si="4"/>
        <v>42477.31967</v>
      </c>
      <c r="M110" s="27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28"/>
      <c r="B111" s="19">
        <v>41749.0</v>
      </c>
      <c r="C111" s="20">
        <v>16.0</v>
      </c>
      <c r="D111" s="26">
        <v>110.0</v>
      </c>
      <c r="E111" s="9">
        <f t="shared" si="13"/>
        <v>6923.766667</v>
      </c>
      <c r="F111" s="9">
        <f t="shared" si="14"/>
        <v>0.8333333333</v>
      </c>
      <c r="G111" s="22">
        <f t="shared" si="15"/>
        <v>6880.837814</v>
      </c>
      <c r="H111" s="8"/>
      <c r="I111" s="9">
        <f t="shared" si="2"/>
        <v>16</v>
      </c>
      <c r="J111" s="8"/>
      <c r="K111" s="27"/>
      <c r="L111" s="9">
        <f t="shared" si="4"/>
        <v>42477.31967</v>
      </c>
      <c r="M111" s="27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28"/>
      <c r="B112" s="19">
        <v>41750.0</v>
      </c>
      <c r="C112" s="20">
        <v>16.0</v>
      </c>
      <c r="D112" s="26">
        <v>111.0</v>
      </c>
      <c r="E112" s="9">
        <f t="shared" si="13"/>
        <v>6923.766667</v>
      </c>
      <c r="F112" s="9">
        <f t="shared" si="14"/>
        <v>0.8</v>
      </c>
      <c r="G112" s="22">
        <f t="shared" si="15"/>
        <v>6872.252043</v>
      </c>
      <c r="H112" s="8"/>
      <c r="I112" s="9">
        <f t="shared" si="2"/>
        <v>16</v>
      </c>
      <c r="J112" s="8"/>
      <c r="K112" s="27"/>
      <c r="L112" s="9">
        <f t="shared" si="4"/>
        <v>42477.31967</v>
      </c>
      <c r="M112" s="27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28"/>
      <c r="B113" s="19">
        <v>41751.0</v>
      </c>
      <c r="C113" s="20">
        <v>16.0</v>
      </c>
      <c r="D113" s="26">
        <v>112.0</v>
      </c>
      <c r="E113" s="9">
        <f t="shared" si="13"/>
        <v>6923.766667</v>
      </c>
      <c r="F113" s="9">
        <f t="shared" si="14"/>
        <v>0.7666666667</v>
      </c>
      <c r="G113" s="22">
        <f t="shared" si="15"/>
        <v>6863.666272</v>
      </c>
      <c r="H113" s="8"/>
      <c r="I113" s="9">
        <f t="shared" si="2"/>
        <v>16</v>
      </c>
      <c r="J113" s="8"/>
      <c r="K113" s="27"/>
      <c r="L113" s="9">
        <f t="shared" si="4"/>
        <v>42477.31967</v>
      </c>
      <c r="M113" s="27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28"/>
      <c r="B114" s="19">
        <v>41752.0</v>
      </c>
      <c r="C114" s="20">
        <v>17.0</v>
      </c>
      <c r="D114" s="26">
        <v>113.0</v>
      </c>
      <c r="E114" s="9">
        <f t="shared" si="13"/>
        <v>6923.766667</v>
      </c>
      <c r="F114" s="9">
        <f t="shared" si="14"/>
        <v>0.7333333333</v>
      </c>
      <c r="G114" s="22">
        <f t="shared" si="15"/>
        <v>6855.080502</v>
      </c>
      <c r="H114" s="8"/>
      <c r="I114" s="9">
        <f t="shared" si="2"/>
        <v>17</v>
      </c>
      <c r="J114" s="22">
        <f>SUM(G114:G120)</f>
        <v>47805.26233</v>
      </c>
      <c r="K114" s="24">
        <v>47805.26233</v>
      </c>
      <c r="L114" s="9">
        <f t="shared" si="4"/>
        <v>42477.31967</v>
      </c>
      <c r="M114" s="24">
        <v>42477.31967</v>
      </c>
      <c r="N114" s="25">
        <v>13243.23327</v>
      </c>
      <c r="O114" s="25">
        <v>11597.80521</v>
      </c>
      <c r="P114" s="25">
        <v>2990.997912</v>
      </c>
      <c r="Q114" s="25">
        <v>20610.46658</v>
      </c>
      <c r="R114" s="18"/>
      <c r="S114" s="25">
        <v>11083.10378</v>
      </c>
      <c r="T114" s="25">
        <v>10122.92983</v>
      </c>
      <c r="U114" s="25">
        <v>2505.754946</v>
      </c>
      <c r="V114" s="25">
        <v>19364.22807</v>
      </c>
      <c r="W114" s="25">
        <v>2160.129496</v>
      </c>
      <c r="X114" s="25">
        <v>1474.875379</v>
      </c>
      <c r="Y114" s="25">
        <v>485.2429659</v>
      </c>
      <c r="Z114" s="25">
        <v>1246.238516</v>
      </c>
    </row>
    <row r="115">
      <c r="A115" s="28"/>
      <c r="B115" s="19">
        <v>41753.0</v>
      </c>
      <c r="C115" s="20">
        <v>17.0</v>
      </c>
      <c r="D115" s="26">
        <v>114.0</v>
      </c>
      <c r="E115" s="9">
        <f t="shared" si="13"/>
        <v>6923.766667</v>
      </c>
      <c r="F115" s="9">
        <f t="shared" si="14"/>
        <v>0.7</v>
      </c>
      <c r="G115" s="22">
        <f t="shared" si="15"/>
        <v>6846.494731</v>
      </c>
      <c r="H115" s="8"/>
      <c r="I115" s="9">
        <f t="shared" si="2"/>
        <v>17</v>
      </c>
      <c r="J115" s="8"/>
      <c r="K115" s="27"/>
      <c r="L115" s="9">
        <f t="shared" si="4"/>
        <v>42477.31967</v>
      </c>
      <c r="M115" s="27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28"/>
      <c r="B116" s="19">
        <v>41754.0</v>
      </c>
      <c r="C116" s="20">
        <v>17.0</v>
      </c>
      <c r="D116" s="26">
        <v>115.0</v>
      </c>
      <c r="E116" s="9">
        <f t="shared" si="13"/>
        <v>6923.766667</v>
      </c>
      <c r="F116" s="9">
        <f t="shared" si="14"/>
        <v>0.6666666667</v>
      </c>
      <c r="G116" s="22">
        <f t="shared" si="15"/>
        <v>6837.908961</v>
      </c>
      <c r="H116" s="8"/>
      <c r="I116" s="9">
        <f t="shared" si="2"/>
        <v>17</v>
      </c>
      <c r="J116" s="8"/>
      <c r="K116" s="27"/>
      <c r="L116" s="9">
        <f t="shared" si="4"/>
        <v>42477.31967</v>
      </c>
      <c r="M116" s="27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28"/>
      <c r="B117" s="19">
        <v>41755.0</v>
      </c>
      <c r="C117" s="20">
        <v>17.0</v>
      </c>
      <c r="D117" s="26">
        <v>116.0</v>
      </c>
      <c r="E117" s="9">
        <f t="shared" si="13"/>
        <v>6923.766667</v>
      </c>
      <c r="F117" s="9">
        <f t="shared" si="14"/>
        <v>0.6333333333</v>
      </c>
      <c r="G117" s="22">
        <f t="shared" si="15"/>
        <v>6829.32319</v>
      </c>
      <c r="H117" s="8"/>
      <c r="I117" s="9">
        <f t="shared" si="2"/>
        <v>17</v>
      </c>
      <c r="J117" s="8"/>
      <c r="K117" s="27"/>
      <c r="L117" s="9">
        <f t="shared" si="4"/>
        <v>42477.31967</v>
      </c>
      <c r="M117" s="27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28"/>
      <c r="B118" s="19">
        <v>41756.0</v>
      </c>
      <c r="C118" s="20">
        <v>17.0</v>
      </c>
      <c r="D118" s="26">
        <v>117.0</v>
      </c>
      <c r="E118" s="9">
        <f t="shared" si="13"/>
        <v>6923.766667</v>
      </c>
      <c r="F118" s="9">
        <f t="shared" si="14"/>
        <v>0.6</v>
      </c>
      <c r="G118" s="22">
        <f t="shared" si="15"/>
        <v>6820.737419</v>
      </c>
      <c r="H118" s="8"/>
      <c r="I118" s="9">
        <f t="shared" si="2"/>
        <v>17</v>
      </c>
      <c r="J118" s="8"/>
      <c r="K118" s="27"/>
      <c r="L118" s="9">
        <f t="shared" si="4"/>
        <v>42477.31967</v>
      </c>
      <c r="M118" s="27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28"/>
      <c r="B119" s="19">
        <v>41757.0</v>
      </c>
      <c r="C119" s="20">
        <v>17.0</v>
      </c>
      <c r="D119" s="26">
        <v>118.0</v>
      </c>
      <c r="E119" s="9">
        <f t="shared" si="13"/>
        <v>6923.766667</v>
      </c>
      <c r="F119" s="9">
        <f t="shared" si="14"/>
        <v>0.5666666667</v>
      </c>
      <c r="G119" s="22">
        <f t="shared" si="15"/>
        <v>6812.151649</v>
      </c>
      <c r="H119" s="8"/>
      <c r="I119" s="9">
        <f t="shared" si="2"/>
        <v>17</v>
      </c>
      <c r="J119" s="8"/>
      <c r="K119" s="27"/>
      <c r="L119" s="9">
        <f t="shared" si="4"/>
        <v>42477.31967</v>
      </c>
      <c r="M119" s="27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28"/>
      <c r="B120" s="19">
        <v>41758.0</v>
      </c>
      <c r="C120" s="20">
        <v>17.0</v>
      </c>
      <c r="D120" s="26">
        <v>119.0</v>
      </c>
      <c r="E120" s="9">
        <f t="shared" si="13"/>
        <v>6923.766667</v>
      </c>
      <c r="F120" s="9">
        <f t="shared" si="14"/>
        <v>0.5333333333</v>
      </c>
      <c r="G120" s="22">
        <f t="shared" si="15"/>
        <v>6803.565878</v>
      </c>
      <c r="H120" s="8"/>
      <c r="I120" s="9">
        <f t="shared" si="2"/>
        <v>17</v>
      </c>
      <c r="J120" s="8"/>
      <c r="K120" s="27"/>
      <c r="L120" s="9">
        <f t="shared" si="4"/>
        <v>42477.31967</v>
      </c>
      <c r="M120" s="27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28"/>
      <c r="B121" s="19">
        <v>41759.0</v>
      </c>
      <c r="C121" s="20">
        <v>18.0</v>
      </c>
      <c r="D121" s="26">
        <v>120.0</v>
      </c>
      <c r="E121" s="9">
        <f t="shared" si="13"/>
        <v>6923.766667</v>
      </c>
      <c r="F121" s="9">
        <f t="shared" si="14"/>
        <v>0.5</v>
      </c>
      <c r="G121" s="22">
        <f t="shared" si="15"/>
        <v>6794.980108</v>
      </c>
      <c r="H121" s="8"/>
      <c r="I121" s="9">
        <f t="shared" si="2"/>
        <v>18</v>
      </c>
      <c r="J121" s="22">
        <f>SUM(G121:G127)</f>
        <v>47384.55957</v>
      </c>
      <c r="K121" s="24">
        <v>47384.55957</v>
      </c>
      <c r="L121" s="9">
        <f t="shared" si="4"/>
        <v>42477.31967</v>
      </c>
      <c r="M121" s="24">
        <v>42477.31967</v>
      </c>
      <c r="N121" s="25">
        <v>12590.67456</v>
      </c>
      <c r="O121" s="25">
        <v>10969.41633</v>
      </c>
      <c r="P121" s="25">
        <v>2907.265414</v>
      </c>
      <c r="Q121" s="25">
        <v>20798.85377</v>
      </c>
      <c r="R121" s="18"/>
      <c r="S121" s="25">
        <v>11324.31635</v>
      </c>
      <c r="T121" s="25">
        <v>10362.84471</v>
      </c>
      <c r="U121" s="25">
        <v>2531.661842</v>
      </c>
      <c r="V121" s="25">
        <v>19121.83681</v>
      </c>
      <c r="W121" s="25">
        <v>1266.358215</v>
      </c>
      <c r="X121" s="25">
        <v>606.5716175</v>
      </c>
      <c r="Y121" s="25">
        <v>375.6035719</v>
      </c>
      <c r="Z121" s="25">
        <v>1677.016962</v>
      </c>
    </row>
    <row r="122">
      <c r="A122" s="28"/>
      <c r="B122" s="19">
        <v>41760.0</v>
      </c>
      <c r="C122" s="20">
        <v>18.0</v>
      </c>
      <c r="D122" s="26">
        <v>121.0</v>
      </c>
      <c r="E122" s="9">
        <f>A124/31</f>
        <v>6666.193548</v>
      </c>
      <c r="F122" s="9">
        <f t="shared" si="14"/>
        <v>0.4666666667</v>
      </c>
      <c r="G122" s="22">
        <f t="shared" si="15"/>
        <v>6786.394337</v>
      </c>
      <c r="H122" s="8"/>
      <c r="I122" s="9">
        <f t="shared" si="2"/>
        <v>18</v>
      </c>
      <c r="J122" s="8"/>
      <c r="K122" s="27"/>
      <c r="L122" s="9">
        <f t="shared" si="4"/>
        <v>42477.31967</v>
      </c>
      <c r="M122" s="27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3" t="s">
        <v>68</v>
      </c>
      <c r="B123" s="19">
        <v>41761.0</v>
      </c>
      <c r="C123" s="20">
        <v>18.0</v>
      </c>
      <c r="D123" s="26">
        <v>122.0</v>
      </c>
      <c r="E123" s="9">
        <f t="shared" ref="E123:E152" si="16">E122</f>
        <v>6666.193548</v>
      </c>
      <c r="F123" s="9">
        <f t="shared" si="14"/>
        <v>0.4333333333</v>
      </c>
      <c r="G123" s="22">
        <f t="shared" si="15"/>
        <v>6777.808566</v>
      </c>
      <c r="H123" s="8"/>
      <c r="I123" s="9">
        <f t="shared" si="2"/>
        <v>18</v>
      </c>
      <c r="J123" s="8"/>
      <c r="K123" s="27"/>
      <c r="L123" s="9">
        <f t="shared" si="4"/>
        <v>42477.31967</v>
      </c>
      <c r="M123" s="27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20">
        <v>206652.0</v>
      </c>
      <c r="B124" s="19">
        <v>41762.0</v>
      </c>
      <c r="C124" s="20">
        <v>18.0</v>
      </c>
      <c r="D124" s="26">
        <v>123.0</v>
      </c>
      <c r="E124" s="9">
        <f t="shared" si="16"/>
        <v>6666.193548</v>
      </c>
      <c r="F124" s="9">
        <f t="shared" si="14"/>
        <v>0.4</v>
      </c>
      <c r="G124" s="22">
        <f t="shared" si="15"/>
        <v>6769.222796</v>
      </c>
      <c r="H124" s="8"/>
      <c r="I124" s="9">
        <f t="shared" si="2"/>
        <v>18</v>
      </c>
      <c r="J124" s="8"/>
      <c r="K124" s="27"/>
      <c r="L124" s="9">
        <f t="shared" si="4"/>
        <v>42477.31967</v>
      </c>
      <c r="M124" s="27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28"/>
      <c r="B125" s="19">
        <v>41763.0</v>
      </c>
      <c r="C125" s="20">
        <v>18.0</v>
      </c>
      <c r="D125" s="26">
        <v>124.0</v>
      </c>
      <c r="E125" s="9">
        <f t="shared" si="16"/>
        <v>6666.193548</v>
      </c>
      <c r="F125" s="9">
        <f t="shared" si="14"/>
        <v>0.3666666667</v>
      </c>
      <c r="G125" s="22">
        <f t="shared" si="15"/>
        <v>6760.637025</v>
      </c>
      <c r="H125" s="8"/>
      <c r="I125" s="9">
        <f t="shared" si="2"/>
        <v>18</v>
      </c>
      <c r="J125" s="8"/>
      <c r="K125" s="27"/>
      <c r="L125" s="9">
        <f t="shared" si="4"/>
        <v>42477.31967</v>
      </c>
      <c r="M125" s="27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28"/>
      <c r="B126" s="19">
        <v>41764.0</v>
      </c>
      <c r="C126" s="20">
        <v>18.0</v>
      </c>
      <c r="D126" s="26">
        <v>125.0</v>
      </c>
      <c r="E126" s="9">
        <f t="shared" si="16"/>
        <v>6666.193548</v>
      </c>
      <c r="F126" s="9">
        <f t="shared" si="14"/>
        <v>0.3333333333</v>
      </c>
      <c r="G126" s="22">
        <f t="shared" si="15"/>
        <v>6752.051254</v>
      </c>
      <c r="H126" s="8"/>
      <c r="I126" s="9">
        <f t="shared" si="2"/>
        <v>18</v>
      </c>
      <c r="J126" s="8"/>
      <c r="K126" s="27"/>
      <c r="L126" s="9">
        <f t="shared" si="4"/>
        <v>42477.31967</v>
      </c>
      <c r="M126" s="27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28"/>
      <c r="B127" s="19">
        <v>41765.0</v>
      </c>
      <c r="C127" s="20">
        <v>18.0</v>
      </c>
      <c r="D127" s="26">
        <v>126.0</v>
      </c>
      <c r="E127" s="9">
        <f t="shared" si="16"/>
        <v>6666.193548</v>
      </c>
      <c r="F127" s="9">
        <f t="shared" si="14"/>
        <v>0.3</v>
      </c>
      <c r="G127" s="22">
        <f t="shared" si="15"/>
        <v>6743.465484</v>
      </c>
      <c r="H127" s="8"/>
      <c r="I127" s="9">
        <f t="shared" si="2"/>
        <v>18</v>
      </c>
      <c r="J127" s="8"/>
      <c r="K127" s="27"/>
      <c r="L127" s="9">
        <f t="shared" si="4"/>
        <v>42477.31967</v>
      </c>
      <c r="M127" s="27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28"/>
      <c r="B128" s="19">
        <v>41766.0</v>
      </c>
      <c r="C128" s="20">
        <v>19.0</v>
      </c>
      <c r="D128" s="26">
        <v>127.0</v>
      </c>
      <c r="E128" s="9">
        <f t="shared" si="16"/>
        <v>6666.193548</v>
      </c>
      <c r="F128" s="9">
        <f t="shared" si="14"/>
        <v>0.2666666667</v>
      </c>
      <c r="G128" s="22">
        <f t="shared" si="15"/>
        <v>6734.879713</v>
      </c>
      <c r="H128" s="8"/>
      <c r="I128" s="9">
        <f t="shared" si="2"/>
        <v>19</v>
      </c>
      <c r="J128" s="22">
        <f>SUM(G128:G134)</f>
        <v>46963.85681</v>
      </c>
      <c r="K128" s="24">
        <v>46963.85681</v>
      </c>
      <c r="L128" s="9">
        <f t="shared" si="4"/>
        <v>42477.31967</v>
      </c>
      <c r="M128" s="24">
        <v>42477.31967</v>
      </c>
      <c r="N128" s="25">
        <v>12261.26947</v>
      </c>
      <c r="O128" s="25">
        <v>11074.99414</v>
      </c>
      <c r="P128" s="25">
        <v>2802.124701</v>
      </c>
      <c r="Q128" s="25">
        <v>21003.87341</v>
      </c>
      <c r="R128" s="18"/>
      <c r="S128" s="25">
        <v>11220.32804</v>
      </c>
      <c r="T128" s="25">
        <v>10514.31102</v>
      </c>
      <c r="U128" s="25">
        <v>2658.987569</v>
      </c>
      <c r="V128" s="25">
        <v>18120.98199</v>
      </c>
      <c r="W128" s="25">
        <v>1040.941433</v>
      </c>
      <c r="X128" s="25">
        <v>560.6831172</v>
      </c>
      <c r="Y128" s="25">
        <v>143.1371319</v>
      </c>
      <c r="Z128" s="25">
        <v>2882.891428</v>
      </c>
    </row>
    <row r="129">
      <c r="A129" s="28"/>
      <c r="B129" s="19">
        <v>41767.0</v>
      </c>
      <c r="C129" s="20">
        <v>19.0</v>
      </c>
      <c r="D129" s="26">
        <v>128.0</v>
      </c>
      <c r="E129" s="9">
        <f t="shared" si="16"/>
        <v>6666.193548</v>
      </c>
      <c r="F129" s="9">
        <f t="shared" si="14"/>
        <v>0.2333333333</v>
      </c>
      <c r="G129" s="22">
        <f t="shared" si="15"/>
        <v>6726.293943</v>
      </c>
      <c r="H129" s="8"/>
      <c r="I129" s="9">
        <f t="shared" si="2"/>
        <v>19</v>
      </c>
      <c r="J129" s="8"/>
      <c r="K129" s="27"/>
      <c r="L129" s="9">
        <f t="shared" si="4"/>
        <v>42477.31967</v>
      </c>
      <c r="M129" s="27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28"/>
      <c r="B130" s="19">
        <v>41768.0</v>
      </c>
      <c r="C130" s="20">
        <v>19.0</v>
      </c>
      <c r="D130" s="26">
        <v>129.0</v>
      </c>
      <c r="E130" s="9">
        <f t="shared" si="16"/>
        <v>6666.193548</v>
      </c>
      <c r="F130" s="9">
        <f t="shared" si="14"/>
        <v>0.2</v>
      </c>
      <c r="G130" s="22">
        <f t="shared" si="15"/>
        <v>6717.708172</v>
      </c>
      <c r="H130" s="8"/>
      <c r="I130" s="9">
        <f t="shared" si="2"/>
        <v>19</v>
      </c>
      <c r="J130" s="8"/>
      <c r="K130" s="27"/>
      <c r="L130" s="9">
        <f t="shared" si="4"/>
        <v>42477.31967</v>
      </c>
      <c r="M130" s="27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28"/>
      <c r="B131" s="19">
        <v>41769.0</v>
      </c>
      <c r="C131" s="20">
        <v>19.0</v>
      </c>
      <c r="D131" s="26">
        <v>130.0</v>
      </c>
      <c r="E131" s="9">
        <f t="shared" si="16"/>
        <v>6666.193548</v>
      </c>
      <c r="F131" s="9">
        <f t="shared" si="14"/>
        <v>0.1666666667</v>
      </c>
      <c r="G131" s="22">
        <f t="shared" si="15"/>
        <v>6709.122401</v>
      </c>
      <c r="H131" s="8"/>
      <c r="I131" s="9">
        <f t="shared" si="2"/>
        <v>19</v>
      </c>
      <c r="J131" s="8"/>
      <c r="K131" s="27"/>
      <c r="L131" s="9">
        <f t="shared" si="4"/>
        <v>42477.31967</v>
      </c>
      <c r="M131" s="27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28"/>
      <c r="B132" s="19">
        <v>41770.0</v>
      </c>
      <c r="C132" s="20">
        <v>19.0</v>
      </c>
      <c r="D132" s="26">
        <v>131.0</v>
      </c>
      <c r="E132" s="9">
        <f t="shared" si="16"/>
        <v>6666.193548</v>
      </c>
      <c r="F132" s="9">
        <f t="shared" si="14"/>
        <v>0.1333333333</v>
      </c>
      <c r="G132" s="22">
        <f t="shared" si="15"/>
        <v>6700.536631</v>
      </c>
      <c r="H132" s="8"/>
      <c r="I132" s="9">
        <f t="shared" si="2"/>
        <v>19</v>
      </c>
      <c r="J132" s="8"/>
      <c r="K132" s="27"/>
      <c r="L132" s="9">
        <f t="shared" si="4"/>
        <v>42477.31967</v>
      </c>
      <c r="M132" s="27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28"/>
      <c r="B133" s="19">
        <v>41771.0</v>
      </c>
      <c r="C133" s="20">
        <v>19.0</v>
      </c>
      <c r="D133" s="26">
        <v>132.0</v>
      </c>
      <c r="E133" s="9">
        <f t="shared" si="16"/>
        <v>6666.193548</v>
      </c>
      <c r="F133" s="9">
        <f t="shared" si="14"/>
        <v>0.1</v>
      </c>
      <c r="G133" s="22">
        <f t="shared" si="15"/>
        <v>6691.95086</v>
      </c>
      <c r="H133" s="8"/>
      <c r="I133" s="9">
        <f t="shared" si="2"/>
        <v>19</v>
      </c>
      <c r="J133" s="8"/>
      <c r="K133" s="27"/>
      <c r="L133" s="9">
        <f t="shared" si="4"/>
        <v>42477.31967</v>
      </c>
      <c r="M133" s="27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28"/>
      <c r="B134" s="19">
        <v>41772.0</v>
      </c>
      <c r="C134" s="20">
        <v>19.0</v>
      </c>
      <c r="D134" s="26">
        <v>133.0</v>
      </c>
      <c r="E134" s="9">
        <f t="shared" si="16"/>
        <v>6666.193548</v>
      </c>
      <c r="F134" s="9">
        <f t="shared" si="14"/>
        <v>0.06666666667</v>
      </c>
      <c r="G134" s="22">
        <f t="shared" si="15"/>
        <v>6683.36509</v>
      </c>
      <c r="H134" s="8"/>
      <c r="I134" s="9">
        <f t="shared" si="2"/>
        <v>19</v>
      </c>
      <c r="J134" s="8"/>
      <c r="K134" s="27"/>
      <c r="L134" s="9">
        <f t="shared" si="4"/>
        <v>42477.31967</v>
      </c>
      <c r="M134" s="27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28"/>
      <c r="B135" s="19">
        <v>41773.0</v>
      </c>
      <c r="C135" s="20">
        <v>20.0</v>
      </c>
      <c r="D135" s="26">
        <v>134.0</v>
      </c>
      <c r="E135" s="9">
        <f t="shared" si="16"/>
        <v>6666.193548</v>
      </c>
      <c r="F135" s="9">
        <f t="shared" si="14"/>
        <v>0.03333333333</v>
      </c>
      <c r="G135" s="22">
        <f t="shared" si="15"/>
        <v>6674.779319</v>
      </c>
      <c r="H135" s="8"/>
      <c r="I135" s="9">
        <f t="shared" si="2"/>
        <v>20</v>
      </c>
      <c r="J135" s="22">
        <f>SUM(G135:G141)</f>
        <v>46955.50825</v>
      </c>
      <c r="K135" s="24">
        <v>46955.50825</v>
      </c>
      <c r="L135" s="9">
        <f t="shared" si="4"/>
        <v>42477.31967</v>
      </c>
      <c r="M135" s="24">
        <v>42477.31967</v>
      </c>
      <c r="N135" s="25">
        <v>13071.91566</v>
      </c>
      <c r="O135" s="25">
        <v>10774.86507</v>
      </c>
      <c r="P135" s="25">
        <v>2729.704693</v>
      </c>
      <c r="Q135" s="25">
        <v>20909.71704</v>
      </c>
      <c r="R135" s="18"/>
      <c r="S135" s="25">
        <v>11535.60914</v>
      </c>
      <c r="T135" s="25">
        <v>10091.62673</v>
      </c>
      <c r="U135" s="25">
        <v>2530.485039</v>
      </c>
      <c r="V135" s="25">
        <v>18251.43024</v>
      </c>
      <c r="W135" s="25">
        <v>1536.306519</v>
      </c>
      <c r="X135" s="25">
        <v>683.2383316</v>
      </c>
      <c r="Y135" s="25">
        <v>199.2196539</v>
      </c>
      <c r="Z135" s="25">
        <v>2658.286805</v>
      </c>
    </row>
    <row r="136">
      <c r="A136" s="28"/>
      <c r="B136" s="19">
        <v>41774.0</v>
      </c>
      <c r="C136" s="20">
        <v>20.0</v>
      </c>
      <c r="D136" s="26">
        <v>135.0</v>
      </c>
      <c r="E136" s="9">
        <f t="shared" si="16"/>
        <v>6666.193548</v>
      </c>
      <c r="F136" s="9">
        <f t="shared" si="14"/>
        <v>0</v>
      </c>
      <c r="G136" s="22">
        <f t="shared" si="15"/>
        <v>6666.193548</v>
      </c>
      <c r="H136" s="8"/>
      <c r="I136" s="9">
        <f t="shared" si="2"/>
        <v>20</v>
      </c>
      <c r="J136" s="8"/>
      <c r="K136" s="27"/>
      <c r="L136" s="9">
        <f t="shared" si="4"/>
        <v>42477.31967</v>
      </c>
      <c r="M136" s="27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3"/>
      <c r="B137" s="19">
        <v>41775.0</v>
      </c>
      <c r="C137" s="20">
        <v>20.0</v>
      </c>
      <c r="D137" s="26">
        <v>136.0</v>
      </c>
      <c r="E137" s="9">
        <f t="shared" si="16"/>
        <v>6666.193548</v>
      </c>
      <c r="F137" s="9">
        <f t="shared" ref="F137:F167" si="17">abs((D137-166)/(135-166))</f>
        <v>0.9677419355</v>
      </c>
      <c r="G137" s="22">
        <f t="shared" ref="G137:G166" si="18">E122*F137+(1-F137)*E153</f>
        <v>6685.098058</v>
      </c>
      <c r="H137" s="8"/>
      <c r="I137" s="9">
        <f t="shared" si="2"/>
        <v>20</v>
      </c>
      <c r="J137" s="8"/>
      <c r="K137" s="27"/>
      <c r="L137" s="9">
        <f t="shared" si="4"/>
        <v>42477.31967</v>
      </c>
      <c r="M137" s="27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3"/>
      <c r="B138" s="19">
        <v>41776.0</v>
      </c>
      <c r="C138" s="20">
        <v>20.0</v>
      </c>
      <c r="D138" s="26">
        <v>137.0</v>
      </c>
      <c r="E138" s="9">
        <f t="shared" si="16"/>
        <v>6666.193548</v>
      </c>
      <c r="F138" s="9">
        <f t="shared" si="17"/>
        <v>0.935483871</v>
      </c>
      <c r="G138" s="22">
        <f t="shared" si="18"/>
        <v>6704.002567</v>
      </c>
      <c r="H138" s="8"/>
      <c r="I138" s="9">
        <f t="shared" si="2"/>
        <v>20</v>
      </c>
      <c r="J138" s="8"/>
      <c r="K138" s="27"/>
      <c r="L138" s="9">
        <f t="shared" si="4"/>
        <v>42477.31967</v>
      </c>
      <c r="M138" s="27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28"/>
      <c r="B139" s="19">
        <v>41777.0</v>
      </c>
      <c r="C139" s="20">
        <v>20.0</v>
      </c>
      <c r="D139" s="26">
        <v>138.0</v>
      </c>
      <c r="E139" s="9">
        <f t="shared" si="16"/>
        <v>6666.193548</v>
      </c>
      <c r="F139" s="9">
        <f t="shared" si="17"/>
        <v>0.9032258065</v>
      </c>
      <c r="G139" s="22">
        <f t="shared" si="18"/>
        <v>6722.907076</v>
      </c>
      <c r="H139" s="8"/>
      <c r="I139" s="9">
        <f t="shared" si="2"/>
        <v>20</v>
      </c>
      <c r="J139" s="8"/>
      <c r="K139" s="27"/>
      <c r="L139" s="9">
        <f t="shared" si="4"/>
        <v>42477.31967</v>
      </c>
      <c r="M139" s="27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28"/>
      <c r="B140" s="19">
        <v>41778.0</v>
      </c>
      <c r="C140" s="20">
        <v>20.0</v>
      </c>
      <c r="D140" s="26">
        <v>139.0</v>
      </c>
      <c r="E140" s="9">
        <f t="shared" si="16"/>
        <v>6666.193548</v>
      </c>
      <c r="F140" s="9">
        <f t="shared" si="17"/>
        <v>0.8709677419</v>
      </c>
      <c r="G140" s="22">
        <f t="shared" si="18"/>
        <v>6741.811585</v>
      </c>
      <c r="H140" s="8"/>
      <c r="I140" s="9">
        <f t="shared" si="2"/>
        <v>20</v>
      </c>
      <c r="J140" s="8"/>
      <c r="K140" s="27"/>
      <c r="L140" s="9">
        <f t="shared" si="4"/>
        <v>42477.31967</v>
      </c>
      <c r="M140" s="27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28"/>
      <c r="B141" s="19">
        <v>41779.0</v>
      </c>
      <c r="C141" s="20">
        <v>20.0</v>
      </c>
      <c r="D141" s="26">
        <v>140.0</v>
      </c>
      <c r="E141" s="9">
        <f t="shared" si="16"/>
        <v>6666.193548</v>
      </c>
      <c r="F141" s="9">
        <f t="shared" si="17"/>
        <v>0.8387096774</v>
      </c>
      <c r="G141" s="22">
        <f t="shared" si="18"/>
        <v>6760.716094</v>
      </c>
      <c r="H141" s="8"/>
      <c r="I141" s="9">
        <f t="shared" si="2"/>
        <v>20</v>
      </c>
      <c r="J141" s="8"/>
      <c r="K141" s="27"/>
      <c r="L141" s="9">
        <f t="shared" si="4"/>
        <v>42477.31967</v>
      </c>
      <c r="M141" s="27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28"/>
      <c r="B142" s="19">
        <v>41780.0</v>
      </c>
      <c r="C142" s="20">
        <v>21.0</v>
      </c>
      <c r="D142" s="26">
        <v>141.0</v>
      </c>
      <c r="E142" s="9">
        <f t="shared" si="16"/>
        <v>6666.193548</v>
      </c>
      <c r="F142" s="9">
        <f t="shared" si="17"/>
        <v>0.8064516129</v>
      </c>
      <c r="G142" s="22">
        <f t="shared" si="18"/>
        <v>6779.620604</v>
      </c>
      <c r="H142" s="8"/>
      <c r="I142" s="9">
        <f t="shared" si="2"/>
        <v>21</v>
      </c>
      <c r="J142" s="22">
        <f>SUM(G142:G148)</f>
        <v>47854.33892</v>
      </c>
      <c r="K142" s="24">
        <v>47854.33892</v>
      </c>
      <c r="L142" s="9">
        <f t="shared" si="4"/>
        <v>42477.31967</v>
      </c>
      <c r="M142" s="24">
        <v>42477.31967</v>
      </c>
      <c r="N142" s="25">
        <v>12998.40859</v>
      </c>
      <c r="O142" s="25">
        <v>11820.79144</v>
      </c>
      <c r="P142" s="25">
        <v>2874.246307</v>
      </c>
      <c r="Q142" s="25">
        <v>21428.5521</v>
      </c>
      <c r="R142" s="18"/>
      <c r="S142" s="25">
        <v>10983.53321</v>
      </c>
      <c r="T142" s="25">
        <v>9968.122136</v>
      </c>
      <c r="U142" s="25">
        <v>2550.062441</v>
      </c>
      <c r="V142" s="25">
        <v>19359.56914</v>
      </c>
      <c r="W142" s="25">
        <v>2014.875383</v>
      </c>
      <c r="X142" s="25">
        <v>1852.669309</v>
      </c>
      <c r="Y142" s="25">
        <v>324.1838657</v>
      </c>
      <c r="Z142" s="25">
        <v>2068.98296</v>
      </c>
    </row>
    <row r="143">
      <c r="A143" s="28"/>
      <c r="B143" s="19">
        <v>41781.0</v>
      </c>
      <c r="C143" s="20">
        <v>21.0</v>
      </c>
      <c r="D143" s="26">
        <v>142.0</v>
      </c>
      <c r="E143" s="9">
        <f t="shared" si="16"/>
        <v>6666.193548</v>
      </c>
      <c r="F143" s="9">
        <f t="shared" si="17"/>
        <v>0.7741935484</v>
      </c>
      <c r="G143" s="22">
        <f t="shared" si="18"/>
        <v>6798.525113</v>
      </c>
      <c r="H143" s="8"/>
      <c r="I143" s="9">
        <f t="shared" si="2"/>
        <v>21</v>
      </c>
      <c r="J143" s="8"/>
      <c r="K143" s="27"/>
      <c r="L143" s="9">
        <f t="shared" si="4"/>
        <v>42477.31967</v>
      </c>
      <c r="M143" s="27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28"/>
      <c r="B144" s="19">
        <v>41782.0</v>
      </c>
      <c r="C144" s="20">
        <v>21.0</v>
      </c>
      <c r="D144" s="26">
        <v>143.0</v>
      </c>
      <c r="E144" s="9">
        <f t="shared" si="16"/>
        <v>6666.193548</v>
      </c>
      <c r="F144" s="9">
        <f t="shared" si="17"/>
        <v>0.7419354839</v>
      </c>
      <c r="G144" s="22">
        <f t="shared" si="18"/>
        <v>6817.429622</v>
      </c>
      <c r="H144" s="8"/>
      <c r="I144" s="9">
        <f t="shared" si="2"/>
        <v>21</v>
      </c>
      <c r="J144" s="8"/>
      <c r="K144" s="27"/>
      <c r="L144" s="9">
        <f t="shared" si="4"/>
        <v>42477.31967</v>
      </c>
      <c r="M144" s="27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28"/>
      <c r="B145" s="19">
        <v>41783.0</v>
      </c>
      <c r="C145" s="20">
        <v>21.0</v>
      </c>
      <c r="D145" s="26">
        <v>144.0</v>
      </c>
      <c r="E145" s="9">
        <f t="shared" si="16"/>
        <v>6666.193548</v>
      </c>
      <c r="F145" s="9">
        <f t="shared" si="17"/>
        <v>0.7096774194</v>
      </c>
      <c r="G145" s="22">
        <f t="shared" si="18"/>
        <v>6836.334131</v>
      </c>
      <c r="H145" s="8"/>
      <c r="I145" s="9">
        <f t="shared" si="2"/>
        <v>21</v>
      </c>
      <c r="J145" s="8"/>
      <c r="K145" s="27"/>
      <c r="L145" s="9">
        <f t="shared" si="4"/>
        <v>42477.31967</v>
      </c>
      <c r="M145" s="27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28"/>
      <c r="B146" s="19">
        <v>41784.0</v>
      </c>
      <c r="C146" s="20">
        <v>21.0</v>
      </c>
      <c r="D146" s="26">
        <v>145.0</v>
      </c>
      <c r="E146" s="9">
        <f t="shared" si="16"/>
        <v>6666.193548</v>
      </c>
      <c r="F146" s="9">
        <f t="shared" si="17"/>
        <v>0.6774193548</v>
      </c>
      <c r="G146" s="22">
        <f t="shared" si="18"/>
        <v>6855.23864</v>
      </c>
      <c r="H146" s="8"/>
      <c r="I146" s="9">
        <f t="shared" si="2"/>
        <v>21</v>
      </c>
      <c r="J146" s="8"/>
      <c r="K146" s="27"/>
      <c r="L146" s="9">
        <f t="shared" si="4"/>
        <v>42477.31967</v>
      </c>
      <c r="M146" s="27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28"/>
      <c r="B147" s="19">
        <v>41785.0</v>
      </c>
      <c r="C147" s="20">
        <v>21.0</v>
      </c>
      <c r="D147" s="26">
        <v>146.0</v>
      </c>
      <c r="E147" s="9">
        <f t="shared" si="16"/>
        <v>6666.193548</v>
      </c>
      <c r="F147" s="9">
        <f t="shared" si="17"/>
        <v>0.6451612903</v>
      </c>
      <c r="G147" s="22">
        <f t="shared" si="18"/>
        <v>6874.143149</v>
      </c>
      <c r="H147" s="8"/>
      <c r="I147" s="9">
        <f t="shared" si="2"/>
        <v>21</v>
      </c>
      <c r="J147" s="8"/>
      <c r="K147" s="27"/>
      <c r="L147" s="9">
        <f t="shared" si="4"/>
        <v>42477.31967</v>
      </c>
      <c r="M147" s="27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28"/>
      <c r="B148" s="19">
        <v>41786.0</v>
      </c>
      <c r="C148" s="20">
        <v>21.0</v>
      </c>
      <c r="D148" s="26">
        <v>147.0</v>
      </c>
      <c r="E148" s="9">
        <f t="shared" si="16"/>
        <v>6666.193548</v>
      </c>
      <c r="F148" s="9">
        <f t="shared" si="17"/>
        <v>0.6129032258</v>
      </c>
      <c r="G148" s="22">
        <f t="shared" si="18"/>
        <v>6893.047659</v>
      </c>
      <c r="H148" s="8"/>
      <c r="I148" s="9">
        <f t="shared" si="2"/>
        <v>21</v>
      </c>
      <c r="J148" s="8"/>
      <c r="K148" s="27"/>
      <c r="L148" s="9">
        <f t="shared" si="4"/>
        <v>42477.31967</v>
      </c>
      <c r="M148" s="27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28"/>
      <c r="B149" s="19">
        <v>41787.0</v>
      </c>
      <c r="C149" s="20">
        <v>22.0</v>
      </c>
      <c r="D149" s="26">
        <v>148.0</v>
      </c>
      <c r="E149" s="9">
        <f t="shared" si="16"/>
        <v>6666.193548</v>
      </c>
      <c r="F149" s="9">
        <f t="shared" si="17"/>
        <v>0.5806451613</v>
      </c>
      <c r="G149" s="22">
        <f t="shared" si="18"/>
        <v>6911.952168</v>
      </c>
      <c r="H149" s="8"/>
      <c r="I149" s="9">
        <f t="shared" si="2"/>
        <v>22</v>
      </c>
      <c r="J149" s="22">
        <f>SUM(G149:G155)</f>
        <v>48780.65987</v>
      </c>
      <c r="K149" s="24">
        <v>48780.65987</v>
      </c>
      <c r="L149" s="9">
        <f t="shared" si="4"/>
        <v>42477.31967</v>
      </c>
      <c r="M149" s="24">
        <v>42477.31967</v>
      </c>
      <c r="N149" s="25">
        <v>12847.32518</v>
      </c>
      <c r="O149" s="25">
        <v>11027.22873</v>
      </c>
      <c r="P149" s="25">
        <v>2817.649049</v>
      </c>
      <c r="Q149" s="25">
        <v>20282.35283</v>
      </c>
      <c r="R149" s="18"/>
      <c r="S149" s="25">
        <v>11198.04241</v>
      </c>
      <c r="T149" s="25">
        <v>10096.82188</v>
      </c>
      <c r="U149" s="25">
        <v>2515.66883</v>
      </c>
      <c r="V149" s="25">
        <v>18100.81586</v>
      </c>
      <c r="W149" s="25">
        <v>1649.282772</v>
      </c>
      <c r="X149" s="25">
        <v>930.4068426</v>
      </c>
      <c r="Y149" s="25">
        <v>301.9802186</v>
      </c>
      <c r="Z149" s="25">
        <v>2181.536967</v>
      </c>
    </row>
    <row r="150">
      <c r="A150" s="28"/>
      <c r="B150" s="19">
        <v>41788.0</v>
      </c>
      <c r="C150" s="20">
        <v>22.0</v>
      </c>
      <c r="D150" s="26">
        <v>149.0</v>
      </c>
      <c r="E150" s="9">
        <f t="shared" si="16"/>
        <v>6666.193548</v>
      </c>
      <c r="F150" s="9">
        <f t="shared" si="17"/>
        <v>0.5483870968</v>
      </c>
      <c r="G150" s="22">
        <f t="shared" si="18"/>
        <v>6930.856677</v>
      </c>
      <c r="H150" s="8"/>
      <c r="I150" s="9">
        <f t="shared" si="2"/>
        <v>22</v>
      </c>
      <c r="J150" s="8"/>
      <c r="K150" s="27"/>
      <c r="L150" s="9">
        <f t="shared" si="4"/>
        <v>42477.31967</v>
      </c>
      <c r="M150" s="27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28"/>
      <c r="B151" s="19">
        <v>41789.0</v>
      </c>
      <c r="C151" s="20">
        <v>22.0</v>
      </c>
      <c r="D151" s="26">
        <v>150.0</v>
      </c>
      <c r="E151" s="9">
        <f t="shared" si="16"/>
        <v>6666.193548</v>
      </c>
      <c r="F151" s="9">
        <f t="shared" si="17"/>
        <v>0.5161290323</v>
      </c>
      <c r="G151" s="22">
        <f t="shared" si="18"/>
        <v>6949.761186</v>
      </c>
      <c r="H151" s="8"/>
      <c r="I151" s="9">
        <f t="shared" si="2"/>
        <v>22</v>
      </c>
      <c r="J151" s="8"/>
      <c r="K151" s="27"/>
      <c r="L151" s="9">
        <f t="shared" si="4"/>
        <v>42477.31967</v>
      </c>
      <c r="M151" s="27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28"/>
      <c r="B152" s="19">
        <v>41790.0</v>
      </c>
      <c r="C152" s="20">
        <v>22.0</v>
      </c>
      <c r="D152" s="26">
        <v>151.0</v>
      </c>
      <c r="E152" s="9">
        <f t="shared" si="16"/>
        <v>6666.193548</v>
      </c>
      <c r="F152" s="9">
        <f t="shared" si="17"/>
        <v>0.4838709677</v>
      </c>
      <c r="G152" s="22">
        <f t="shared" si="18"/>
        <v>6968.665695</v>
      </c>
      <c r="H152" s="8"/>
      <c r="I152" s="9">
        <f t="shared" si="2"/>
        <v>22</v>
      </c>
      <c r="J152" s="8"/>
      <c r="K152" s="27"/>
      <c r="L152" s="9">
        <f t="shared" si="4"/>
        <v>42477.31967</v>
      </c>
      <c r="M152" s="27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28"/>
      <c r="B153" s="19">
        <v>41791.0</v>
      </c>
      <c r="C153" s="20">
        <v>22.0</v>
      </c>
      <c r="D153" s="26">
        <v>152.0</v>
      </c>
      <c r="E153" s="9">
        <f>A155/30</f>
        <v>7252.233333</v>
      </c>
      <c r="F153" s="9">
        <f t="shared" si="17"/>
        <v>0.4516129032</v>
      </c>
      <c r="G153" s="22">
        <f t="shared" si="18"/>
        <v>6987.570205</v>
      </c>
      <c r="H153" s="8"/>
      <c r="I153" s="9">
        <f t="shared" si="2"/>
        <v>22</v>
      </c>
      <c r="J153" s="8"/>
      <c r="K153" s="27"/>
      <c r="L153" s="9">
        <f t="shared" si="4"/>
        <v>42477.31967</v>
      </c>
      <c r="M153" s="27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3" t="s">
        <v>69</v>
      </c>
      <c r="B154" s="19">
        <v>41792.0</v>
      </c>
      <c r="C154" s="20">
        <v>22.0</v>
      </c>
      <c r="D154" s="26">
        <v>153.0</v>
      </c>
      <c r="E154" s="9">
        <f>A155/30</f>
        <v>7252.233333</v>
      </c>
      <c r="F154" s="9">
        <f t="shared" si="17"/>
        <v>0.4193548387</v>
      </c>
      <c r="G154" s="22">
        <f t="shared" si="18"/>
        <v>7006.474714</v>
      </c>
      <c r="H154" s="8"/>
      <c r="I154" s="9">
        <f t="shared" si="2"/>
        <v>22</v>
      </c>
      <c r="J154" s="8"/>
      <c r="K154" s="27"/>
      <c r="L154" s="9">
        <f t="shared" si="4"/>
        <v>42477.31967</v>
      </c>
      <c r="M154" s="27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20">
        <v>217567.0</v>
      </c>
      <c r="B155" s="19">
        <v>41793.0</v>
      </c>
      <c r="C155" s="20">
        <v>22.0</v>
      </c>
      <c r="D155" s="26">
        <v>154.0</v>
      </c>
      <c r="E155" s="9">
        <f t="shared" ref="E155:E182" si="19">E154</f>
        <v>7252.233333</v>
      </c>
      <c r="F155" s="9">
        <f t="shared" si="17"/>
        <v>0.3870967742</v>
      </c>
      <c r="G155" s="22">
        <f t="shared" si="18"/>
        <v>7025.379223</v>
      </c>
      <c r="H155" s="8"/>
      <c r="I155" s="9">
        <f t="shared" si="2"/>
        <v>22</v>
      </c>
      <c r="J155" s="8"/>
      <c r="K155" s="27"/>
      <c r="L155" s="9">
        <f t="shared" si="4"/>
        <v>42477.31967</v>
      </c>
      <c r="M155" s="27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28"/>
      <c r="B156" s="19">
        <v>41794.0</v>
      </c>
      <c r="C156" s="20">
        <v>23.0</v>
      </c>
      <c r="D156" s="26">
        <v>155.0</v>
      </c>
      <c r="E156" s="9">
        <f t="shared" si="19"/>
        <v>7252.233333</v>
      </c>
      <c r="F156" s="9">
        <f t="shared" si="17"/>
        <v>0.3548387097</v>
      </c>
      <c r="G156" s="22">
        <f t="shared" si="18"/>
        <v>7044.283732</v>
      </c>
      <c r="H156" s="8"/>
      <c r="I156" s="9">
        <f t="shared" si="2"/>
        <v>23</v>
      </c>
      <c r="J156" s="22">
        <f>SUM(G156:G162)</f>
        <v>49706.98082</v>
      </c>
      <c r="K156" s="24">
        <v>49706.98082</v>
      </c>
      <c r="L156" s="9">
        <f t="shared" si="4"/>
        <v>42477.31967</v>
      </c>
      <c r="M156" s="24">
        <v>42477.31967</v>
      </c>
      <c r="N156" s="25">
        <v>13875.62215</v>
      </c>
      <c r="O156" s="25">
        <v>11760.34988</v>
      </c>
      <c r="P156" s="25">
        <v>2996.542864</v>
      </c>
      <c r="Q156" s="25">
        <v>20913.44617</v>
      </c>
      <c r="R156" s="18"/>
      <c r="S156" s="25">
        <v>11379.37893</v>
      </c>
      <c r="T156" s="25">
        <v>10506.22889</v>
      </c>
      <c r="U156" s="25">
        <v>2450.873036</v>
      </c>
      <c r="V156" s="25">
        <v>19358.27094</v>
      </c>
      <c r="W156" s="25">
        <v>2496.243222</v>
      </c>
      <c r="X156" s="25">
        <v>1254.120989</v>
      </c>
      <c r="Y156" s="25">
        <v>545.6698288</v>
      </c>
      <c r="Z156" s="25">
        <v>1555.175232</v>
      </c>
    </row>
    <row r="157">
      <c r="A157" s="28"/>
      <c r="B157" s="19">
        <v>41795.0</v>
      </c>
      <c r="C157" s="20">
        <v>23.0</v>
      </c>
      <c r="D157" s="26">
        <v>156.0</v>
      </c>
      <c r="E157" s="9">
        <f t="shared" si="19"/>
        <v>7252.233333</v>
      </c>
      <c r="F157" s="9">
        <f t="shared" si="17"/>
        <v>0.3225806452</v>
      </c>
      <c r="G157" s="22">
        <f t="shared" si="18"/>
        <v>7063.188241</v>
      </c>
      <c r="H157" s="8"/>
      <c r="I157" s="9">
        <f t="shared" si="2"/>
        <v>23</v>
      </c>
      <c r="J157" s="8"/>
      <c r="K157" s="27"/>
      <c r="L157" s="9">
        <f t="shared" si="4"/>
        <v>42477.31967</v>
      </c>
      <c r="M157" s="27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28"/>
      <c r="B158" s="19">
        <v>41796.0</v>
      </c>
      <c r="C158" s="20">
        <v>23.0</v>
      </c>
      <c r="D158" s="26">
        <v>157.0</v>
      </c>
      <c r="E158" s="9">
        <f t="shared" si="19"/>
        <v>7252.233333</v>
      </c>
      <c r="F158" s="9">
        <f t="shared" si="17"/>
        <v>0.2903225806</v>
      </c>
      <c r="G158" s="22">
        <f t="shared" si="18"/>
        <v>7082.092751</v>
      </c>
      <c r="H158" s="8"/>
      <c r="I158" s="9">
        <f t="shared" si="2"/>
        <v>23</v>
      </c>
      <c r="J158" s="8"/>
      <c r="K158" s="27"/>
      <c r="L158" s="9">
        <f t="shared" si="4"/>
        <v>42477.31967</v>
      </c>
      <c r="M158" s="27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28"/>
      <c r="B159" s="19">
        <v>41797.0</v>
      </c>
      <c r="C159" s="20">
        <v>23.0</v>
      </c>
      <c r="D159" s="26">
        <v>158.0</v>
      </c>
      <c r="E159" s="9">
        <f t="shared" si="19"/>
        <v>7252.233333</v>
      </c>
      <c r="F159" s="9">
        <f t="shared" si="17"/>
        <v>0.2580645161</v>
      </c>
      <c r="G159" s="22">
        <f t="shared" si="18"/>
        <v>7100.99726</v>
      </c>
      <c r="H159" s="8"/>
      <c r="I159" s="9">
        <f t="shared" si="2"/>
        <v>23</v>
      </c>
      <c r="J159" s="8"/>
      <c r="K159" s="27"/>
      <c r="L159" s="9">
        <f t="shared" si="4"/>
        <v>42477.31967</v>
      </c>
      <c r="M159" s="27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28"/>
      <c r="B160" s="19">
        <v>41798.0</v>
      </c>
      <c r="C160" s="20">
        <v>23.0</v>
      </c>
      <c r="D160" s="26">
        <v>159.0</v>
      </c>
      <c r="E160" s="9">
        <f t="shared" si="19"/>
        <v>7252.233333</v>
      </c>
      <c r="F160" s="9">
        <f t="shared" si="17"/>
        <v>0.2258064516</v>
      </c>
      <c r="G160" s="22">
        <f t="shared" si="18"/>
        <v>7119.901769</v>
      </c>
      <c r="H160" s="8"/>
      <c r="I160" s="9">
        <f t="shared" si="2"/>
        <v>23</v>
      </c>
      <c r="J160" s="8"/>
      <c r="K160" s="27"/>
      <c r="L160" s="9">
        <f t="shared" si="4"/>
        <v>42477.31967</v>
      </c>
      <c r="M160" s="27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28"/>
      <c r="B161" s="19">
        <v>41799.0</v>
      </c>
      <c r="C161" s="20">
        <v>23.0</v>
      </c>
      <c r="D161" s="26">
        <v>160.0</v>
      </c>
      <c r="E161" s="9">
        <f t="shared" si="19"/>
        <v>7252.233333</v>
      </c>
      <c r="F161" s="9">
        <f t="shared" si="17"/>
        <v>0.1935483871</v>
      </c>
      <c r="G161" s="22">
        <f t="shared" si="18"/>
        <v>7138.806278</v>
      </c>
      <c r="H161" s="8"/>
      <c r="I161" s="9">
        <f t="shared" si="2"/>
        <v>23</v>
      </c>
      <c r="J161" s="8"/>
      <c r="K161" s="27"/>
      <c r="L161" s="9">
        <f t="shared" si="4"/>
        <v>42477.31967</v>
      </c>
      <c r="M161" s="27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28"/>
      <c r="B162" s="19">
        <v>41800.0</v>
      </c>
      <c r="C162" s="20">
        <v>23.0</v>
      </c>
      <c r="D162" s="26">
        <v>161.0</v>
      </c>
      <c r="E162" s="9">
        <f t="shared" si="19"/>
        <v>7252.233333</v>
      </c>
      <c r="F162" s="9">
        <f t="shared" si="17"/>
        <v>0.1612903226</v>
      </c>
      <c r="G162" s="22">
        <f t="shared" si="18"/>
        <v>7157.710787</v>
      </c>
      <c r="H162" s="8"/>
      <c r="I162" s="9">
        <f t="shared" si="2"/>
        <v>23</v>
      </c>
      <c r="J162" s="8"/>
      <c r="K162" s="27"/>
      <c r="L162" s="9">
        <f t="shared" si="4"/>
        <v>42477.31967</v>
      </c>
      <c r="M162" s="27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28"/>
      <c r="B163" s="19">
        <v>41801.0</v>
      </c>
      <c r="C163" s="20">
        <v>24.0</v>
      </c>
      <c r="D163" s="26">
        <v>162.0</v>
      </c>
      <c r="E163" s="9">
        <f t="shared" si="19"/>
        <v>7252.233333</v>
      </c>
      <c r="F163" s="9">
        <f t="shared" si="17"/>
        <v>0.1290322581</v>
      </c>
      <c r="G163" s="22">
        <f t="shared" si="18"/>
        <v>7176.615297</v>
      </c>
      <c r="H163" s="8"/>
      <c r="I163" s="9">
        <f t="shared" si="2"/>
        <v>24</v>
      </c>
      <c r="J163" s="22">
        <f>SUM(G163:G169)</f>
        <v>50519.06168</v>
      </c>
      <c r="K163" s="24">
        <v>50519.06168</v>
      </c>
      <c r="L163" s="9">
        <f t="shared" si="4"/>
        <v>42477.31967</v>
      </c>
      <c r="M163" s="24">
        <v>42477.31967</v>
      </c>
      <c r="N163" s="25">
        <v>12923.87395</v>
      </c>
      <c r="O163" s="25">
        <v>12006.65209</v>
      </c>
      <c r="P163" s="25">
        <v>3042.569673</v>
      </c>
      <c r="Q163" s="25">
        <v>21491.02078</v>
      </c>
      <c r="R163" s="18"/>
      <c r="S163" s="25">
        <v>11039.39945</v>
      </c>
      <c r="T163" s="25">
        <v>10273.14424</v>
      </c>
      <c r="U163" s="25">
        <v>2588.928532</v>
      </c>
      <c r="V163" s="25">
        <v>18238.44451</v>
      </c>
      <c r="W163" s="25">
        <v>1884.474497</v>
      </c>
      <c r="X163" s="25">
        <v>1733.50785</v>
      </c>
      <c r="Y163" s="25">
        <v>453.6411411</v>
      </c>
      <c r="Z163" s="25">
        <v>3252.57627</v>
      </c>
    </row>
    <row r="164">
      <c r="A164" s="28"/>
      <c r="B164" s="19">
        <v>41802.0</v>
      </c>
      <c r="C164" s="20">
        <v>24.0</v>
      </c>
      <c r="D164" s="26">
        <v>163.0</v>
      </c>
      <c r="E164" s="9">
        <f t="shared" si="19"/>
        <v>7252.233333</v>
      </c>
      <c r="F164" s="9">
        <f t="shared" si="17"/>
        <v>0.09677419355</v>
      </c>
      <c r="G164" s="22">
        <f t="shared" si="18"/>
        <v>7195.519806</v>
      </c>
      <c r="H164" s="8"/>
      <c r="I164" s="9">
        <f t="shared" si="2"/>
        <v>24</v>
      </c>
      <c r="J164" s="8"/>
      <c r="K164" s="27"/>
      <c r="L164" s="9">
        <f t="shared" si="4"/>
        <v>42477.31967</v>
      </c>
      <c r="M164" s="27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28"/>
      <c r="B165" s="19">
        <v>41803.0</v>
      </c>
      <c r="C165" s="20">
        <v>24.0</v>
      </c>
      <c r="D165" s="26">
        <v>164.0</v>
      </c>
      <c r="E165" s="9">
        <f t="shared" si="19"/>
        <v>7252.233333</v>
      </c>
      <c r="F165" s="9">
        <f t="shared" si="17"/>
        <v>0.06451612903</v>
      </c>
      <c r="G165" s="22">
        <f t="shared" si="18"/>
        <v>7214.424315</v>
      </c>
      <c r="H165" s="8"/>
      <c r="I165" s="9">
        <f t="shared" si="2"/>
        <v>24</v>
      </c>
      <c r="J165" s="8"/>
      <c r="K165" s="27"/>
      <c r="L165" s="9">
        <f t="shared" si="4"/>
        <v>42477.31967</v>
      </c>
      <c r="M165" s="27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28"/>
      <c r="B166" s="19">
        <v>41804.0</v>
      </c>
      <c r="C166" s="20">
        <v>24.0</v>
      </c>
      <c r="D166" s="26">
        <v>165.0</v>
      </c>
      <c r="E166" s="9">
        <f t="shared" si="19"/>
        <v>7252.233333</v>
      </c>
      <c r="F166" s="9">
        <f t="shared" si="17"/>
        <v>0.03225806452</v>
      </c>
      <c r="G166" s="22">
        <f t="shared" si="18"/>
        <v>7233.328824</v>
      </c>
      <c r="H166" s="8"/>
      <c r="I166" s="9">
        <f t="shared" si="2"/>
        <v>24</v>
      </c>
      <c r="J166" s="8"/>
      <c r="K166" s="27"/>
      <c r="L166" s="9">
        <f t="shared" si="4"/>
        <v>42477.31967</v>
      </c>
      <c r="M166" s="27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28"/>
      <c r="B167" s="19">
        <v>41805.0</v>
      </c>
      <c r="C167" s="20">
        <v>24.0</v>
      </c>
      <c r="D167" s="26">
        <v>166.0</v>
      </c>
      <c r="E167" s="9">
        <f t="shared" si="19"/>
        <v>7252.233333</v>
      </c>
      <c r="F167" s="9">
        <f t="shared" si="17"/>
        <v>0</v>
      </c>
      <c r="G167" s="22">
        <f t="shared" ref="G167:G197" si="20">E152*F167+(1-F167)*E182</f>
        <v>7252.233333</v>
      </c>
      <c r="H167" s="8"/>
      <c r="I167" s="9">
        <f t="shared" si="2"/>
        <v>24</v>
      </c>
      <c r="J167" s="8"/>
      <c r="K167" s="27"/>
      <c r="L167" s="9">
        <f t="shared" si="4"/>
        <v>42477.31967</v>
      </c>
      <c r="M167" s="27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3"/>
      <c r="B168" s="19">
        <v>41806.0</v>
      </c>
      <c r="C168" s="20">
        <v>24.0</v>
      </c>
      <c r="D168" s="26">
        <v>167.0</v>
      </c>
      <c r="E168" s="9">
        <f t="shared" si="19"/>
        <v>7252.233333</v>
      </c>
      <c r="F168" s="9">
        <f t="shared" ref="F168:F197" si="21">abs((D168-196)/(166-196))</f>
        <v>0.9666666667</v>
      </c>
      <c r="G168" s="22">
        <f t="shared" si="20"/>
        <v>7233.057814</v>
      </c>
      <c r="H168" s="8"/>
      <c r="I168" s="9">
        <f t="shared" si="2"/>
        <v>24</v>
      </c>
      <c r="J168" s="8"/>
      <c r="K168" s="27"/>
      <c r="L168" s="9">
        <f t="shared" si="4"/>
        <v>42477.31967</v>
      </c>
      <c r="M168" s="27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3"/>
      <c r="B169" s="19">
        <v>41807.0</v>
      </c>
      <c r="C169" s="20">
        <v>24.0</v>
      </c>
      <c r="D169" s="26">
        <v>168.0</v>
      </c>
      <c r="E169" s="9">
        <f t="shared" si="19"/>
        <v>7252.233333</v>
      </c>
      <c r="F169" s="9">
        <f t="shared" si="21"/>
        <v>0.9333333333</v>
      </c>
      <c r="G169" s="22">
        <f t="shared" si="20"/>
        <v>7213.882294</v>
      </c>
      <c r="H169" s="8"/>
      <c r="I169" s="9">
        <f t="shared" si="2"/>
        <v>24</v>
      </c>
      <c r="J169" s="8"/>
      <c r="K169" s="27"/>
      <c r="L169" s="9">
        <f t="shared" si="4"/>
        <v>42477.31967</v>
      </c>
      <c r="M169" s="27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28"/>
      <c r="B170" s="19">
        <v>41808.0</v>
      </c>
      <c r="C170" s="20">
        <v>25.0</v>
      </c>
      <c r="D170" s="26">
        <v>169.0</v>
      </c>
      <c r="E170" s="9">
        <f t="shared" si="19"/>
        <v>7252.233333</v>
      </c>
      <c r="F170" s="9">
        <f t="shared" si="21"/>
        <v>0.9</v>
      </c>
      <c r="G170" s="22">
        <f t="shared" si="20"/>
        <v>7194.706774</v>
      </c>
      <c r="H170" s="8"/>
      <c r="I170" s="9">
        <f t="shared" si="2"/>
        <v>25</v>
      </c>
      <c r="J170" s="22">
        <f>SUM(G170:G176)</f>
        <v>49960.26151</v>
      </c>
      <c r="K170" s="24">
        <v>49960.26151</v>
      </c>
      <c r="L170" s="9">
        <f t="shared" si="4"/>
        <v>42477.31967</v>
      </c>
      <c r="M170" s="24">
        <v>42477.31967</v>
      </c>
      <c r="N170" s="25">
        <v>13973.76061</v>
      </c>
      <c r="O170" s="25">
        <v>11451.61113</v>
      </c>
      <c r="P170" s="25">
        <v>3082.55685</v>
      </c>
      <c r="Q170" s="25">
        <v>20884.70501</v>
      </c>
      <c r="R170" s="18"/>
      <c r="S170" s="25">
        <v>11394.10675</v>
      </c>
      <c r="T170" s="25">
        <v>10406.5393</v>
      </c>
      <c r="U170" s="25">
        <v>2643.310303</v>
      </c>
      <c r="V170" s="25">
        <v>18865.60946</v>
      </c>
      <c r="W170" s="25">
        <v>2579.653859</v>
      </c>
      <c r="X170" s="25">
        <v>1045.071828</v>
      </c>
      <c r="Y170" s="25">
        <v>439.2465471</v>
      </c>
      <c r="Z170" s="25">
        <v>2019.095549</v>
      </c>
    </row>
    <row r="171">
      <c r="A171" s="28"/>
      <c r="B171" s="19">
        <v>41809.0</v>
      </c>
      <c r="C171" s="20">
        <v>25.0</v>
      </c>
      <c r="D171" s="26">
        <v>170.0</v>
      </c>
      <c r="E171" s="9">
        <f t="shared" si="19"/>
        <v>7252.233333</v>
      </c>
      <c r="F171" s="9">
        <f t="shared" si="21"/>
        <v>0.8666666667</v>
      </c>
      <c r="G171" s="22">
        <f t="shared" si="20"/>
        <v>7175.531254</v>
      </c>
      <c r="H171" s="8"/>
      <c r="I171" s="9">
        <f t="shared" si="2"/>
        <v>25</v>
      </c>
      <c r="J171" s="8"/>
      <c r="K171" s="27"/>
      <c r="L171" s="9">
        <f t="shared" si="4"/>
        <v>42477.31967</v>
      </c>
      <c r="M171" s="27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28"/>
      <c r="B172" s="19">
        <v>41810.0</v>
      </c>
      <c r="C172" s="20">
        <v>25.0</v>
      </c>
      <c r="D172" s="26">
        <v>171.0</v>
      </c>
      <c r="E172" s="9">
        <f t="shared" si="19"/>
        <v>7252.233333</v>
      </c>
      <c r="F172" s="9">
        <f t="shared" si="21"/>
        <v>0.8333333333</v>
      </c>
      <c r="G172" s="22">
        <f t="shared" si="20"/>
        <v>7156.355735</v>
      </c>
      <c r="H172" s="8"/>
      <c r="I172" s="9">
        <f t="shared" si="2"/>
        <v>25</v>
      </c>
      <c r="J172" s="8"/>
      <c r="K172" s="27"/>
      <c r="L172" s="9">
        <f t="shared" si="4"/>
        <v>42477.31967</v>
      </c>
      <c r="M172" s="27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28"/>
      <c r="B173" s="19">
        <v>41811.0</v>
      </c>
      <c r="C173" s="20">
        <v>25.0</v>
      </c>
      <c r="D173" s="26">
        <v>172.0</v>
      </c>
      <c r="E173" s="9">
        <f t="shared" si="19"/>
        <v>7252.233333</v>
      </c>
      <c r="F173" s="9">
        <f t="shared" si="21"/>
        <v>0.8</v>
      </c>
      <c r="G173" s="22">
        <f t="shared" si="20"/>
        <v>7137.180215</v>
      </c>
      <c r="H173" s="8"/>
      <c r="I173" s="9">
        <f t="shared" si="2"/>
        <v>25</v>
      </c>
      <c r="J173" s="8"/>
      <c r="K173" s="27"/>
      <c r="L173" s="9">
        <f t="shared" si="4"/>
        <v>42477.31967</v>
      </c>
      <c r="M173" s="27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28"/>
      <c r="B174" s="19">
        <v>41812.0</v>
      </c>
      <c r="C174" s="20">
        <v>25.0</v>
      </c>
      <c r="D174" s="26">
        <v>173.0</v>
      </c>
      <c r="E174" s="9">
        <f t="shared" si="19"/>
        <v>7252.233333</v>
      </c>
      <c r="F174" s="9">
        <f t="shared" si="21"/>
        <v>0.7666666667</v>
      </c>
      <c r="G174" s="22">
        <f t="shared" si="20"/>
        <v>7118.004695</v>
      </c>
      <c r="H174" s="8"/>
      <c r="I174" s="9">
        <f t="shared" si="2"/>
        <v>25</v>
      </c>
      <c r="J174" s="8"/>
      <c r="K174" s="27"/>
      <c r="L174" s="9">
        <f t="shared" si="4"/>
        <v>42477.31967</v>
      </c>
      <c r="M174" s="27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28"/>
      <c r="B175" s="19">
        <v>41813.0</v>
      </c>
      <c r="C175" s="20">
        <v>25.0</v>
      </c>
      <c r="D175" s="26">
        <v>174.0</v>
      </c>
      <c r="E175" s="9">
        <f t="shared" si="19"/>
        <v>7252.233333</v>
      </c>
      <c r="F175" s="9">
        <f t="shared" si="21"/>
        <v>0.7333333333</v>
      </c>
      <c r="G175" s="22">
        <f t="shared" si="20"/>
        <v>7098.829176</v>
      </c>
      <c r="H175" s="8"/>
      <c r="I175" s="9">
        <f t="shared" si="2"/>
        <v>25</v>
      </c>
      <c r="J175" s="8"/>
      <c r="K175" s="27"/>
      <c r="L175" s="9">
        <f t="shared" si="4"/>
        <v>42477.31967</v>
      </c>
      <c r="M175" s="27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28"/>
      <c r="B176" s="19">
        <v>41814.0</v>
      </c>
      <c r="C176" s="20">
        <v>25.0</v>
      </c>
      <c r="D176" s="26">
        <v>175.0</v>
      </c>
      <c r="E176" s="9">
        <f t="shared" si="19"/>
        <v>7252.233333</v>
      </c>
      <c r="F176" s="9">
        <f t="shared" si="21"/>
        <v>0.7</v>
      </c>
      <c r="G176" s="22">
        <f t="shared" si="20"/>
        <v>7079.653656</v>
      </c>
      <c r="H176" s="8"/>
      <c r="I176" s="9">
        <f t="shared" si="2"/>
        <v>25</v>
      </c>
      <c r="J176" s="8"/>
      <c r="K176" s="27"/>
      <c r="L176" s="9">
        <f t="shared" si="4"/>
        <v>42477.31967</v>
      </c>
      <c r="M176" s="27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28"/>
      <c r="B177" s="19">
        <v>41815.0</v>
      </c>
      <c r="C177" s="20">
        <v>26.0</v>
      </c>
      <c r="D177" s="26">
        <v>176.0</v>
      </c>
      <c r="E177" s="9">
        <f t="shared" si="19"/>
        <v>7252.233333</v>
      </c>
      <c r="F177" s="9">
        <f t="shared" si="21"/>
        <v>0.6666666667</v>
      </c>
      <c r="G177" s="22">
        <f t="shared" si="20"/>
        <v>7060.478136</v>
      </c>
      <c r="H177" s="8"/>
      <c r="I177" s="9">
        <f t="shared" si="2"/>
        <v>26</v>
      </c>
      <c r="J177" s="22">
        <f>SUM(G177:G183)</f>
        <v>49020.66104</v>
      </c>
      <c r="K177" s="24">
        <v>49020.66104</v>
      </c>
      <c r="L177" s="9">
        <f t="shared" si="4"/>
        <v>42477.31967</v>
      </c>
      <c r="M177" s="24">
        <v>42477.31967</v>
      </c>
      <c r="N177" s="25">
        <v>13430.74103</v>
      </c>
      <c r="O177" s="25">
        <v>11322.74132</v>
      </c>
      <c r="P177" s="25">
        <v>2888.137791</v>
      </c>
      <c r="Q177" s="25">
        <v>21221.02853</v>
      </c>
      <c r="R177" s="18"/>
      <c r="S177" s="25">
        <v>11223.58959</v>
      </c>
      <c r="T177" s="25">
        <v>10556.20925</v>
      </c>
      <c r="U177" s="25">
        <v>2669.823032</v>
      </c>
      <c r="V177" s="25">
        <v>19268.83981</v>
      </c>
      <c r="W177" s="25">
        <v>2207.151442</v>
      </c>
      <c r="X177" s="25">
        <v>766.5320681</v>
      </c>
      <c r="Y177" s="25">
        <v>218.3147588</v>
      </c>
      <c r="Z177" s="25">
        <v>1952.188712</v>
      </c>
    </row>
    <row r="178">
      <c r="A178" s="28"/>
      <c r="B178" s="19">
        <v>41816.0</v>
      </c>
      <c r="C178" s="20">
        <v>26.0</v>
      </c>
      <c r="D178" s="26">
        <v>177.0</v>
      </c>
      <c r="E178" s="9">
        <f t="shared" si="19"/>
        <v>7252.233333</v>
      </c>
      <c r="F178" s="9">
        <f t="shared" si="21"/>
        <v>0.6333333333</v>
      </c>
      <c r="G178" s="22">
        <f t="shared" si="20"/>
        <v>7041.302616</v>
      </c>
      <c r="H178" s="8"/>
      <c r="I178" s="9">
        <f t="shared" si="2"/>
        <v>26</v>
      </c>
      <c r="J178" s="8"/>
      <c r="K178" s="27"/>
      <c r="L178" s="9">
        <f t="shared" si="4"/>
        <v>42477.31967</v>
      </c>
      <c r="M178" s="27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28"/>
      <c r="B179" s="19">
        <v>41817.0</v>
      </c>
      <c r="C179" s="20">
        <v>26.0</v>
      </c>
      <c r="D179" s="26">
        <v>178.0</v>
      </c>
      <c r="E179" s="9">
        <f t="shared" si="19"/>
        <v>7252.233333</v>
      </c>
      <c r="F179" s="9">
        <f t="shared" si="21"/>
        <v>0.6</v>
      </c>
      <c r="G179" s="22">
        <f t="shared" si="20"/>
        <v>7022.127097</v>
      </c>
      <c r="H179" s="8"/>
      <c r="I179" s="9">
        <f t="shared" si="2"/>
        <v>26</v>
      </c>
      <c r="J179" s="8"/>
      <c r="K179" s="27"/>
      <c r="L179" s="9">
        <f t="shared" si="4"/>
        <v>42477.31967</v>
      </c>
      <c r="M179" s="27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28"/>
      <c r="B180" s="19">
        <v>41818.0</v>
      </c>
      <c r="C180" s="20">
        <v>26.0</v>
      </c>
      <c r="D180" s="26">
        <v>179.0</v>
      </c>
      <c r="E180" s="9">
        <f t="shared" si="19"/>
        <v>7252.233333</v>
      </c>
      <c r="F180" s="9">
        <f t="shared" si="21"/>
        <v>0.5666666667</v>
      </c>
      <c r="G180" s="22">
        <f t="shared" si="20"/>
        <v>7002.951577</v>
      </c>
      <c r="H180" s="8"/>
      <c r="I180" s="9">
        <f t="shared" si="2"/>
        <v>26</v>
      </c>
      <c r="J180" s="8"/>
      <c r="K180" s="27"/>
      <c r="L180" s="9">
        <f t="shared" si="4"/>
        <v>42477.31967</v>
      </c>
      <c r="M180" s="27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28"/>
      <c r="B181" s="19">
        <v>41819.0</v>
      </c>
      <c r="C181" s="20">
        <v>26.0</v>
      </c>
      <c r="D181" s="26">
        <v>180.0</v>
      </c>
      <c r="E181" s="9">
        <f t="shared" si="19"/>
        <v>7252.233333</v>
      </c>
      <c r="F181" s="9">
        <f t="shared" si="21"/>
        <v>0.5333333333</v>
      </c>
      <c r="G181" s="22">
        <f t="shared" si="20"/>
        <v>6983.776057</v>
      </c>
      <c r="H181" s="8"/>
      <c r="I181" s="9">
        <f t="shared" si="2"/>
        <v>26</v>
      </c>
      <c r="J181" s="8"/>
      <c r="K181" s="27"/>
      <c r="L181" s="9">
        <f t="shared" si="4"/>
        <v>42477.31967</v>
      </c>
      <c r="M181" s="27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28"/>
      <c r="B182" s="19">
        <v>41820.0</v>
      </c>
      <c r="C182" s="20">
        <v>26.0</v>
      </c>
      <c r="D182" s="26">
        <v>181.0</v>
      </c>
      <c r="E182" s="9">
        <f t="shared" si="19"/>
        <v>7252.233333</v>
      </c>
      <c r="F182" s="9">
        <f t="shared" si="21"/>
        <v>0.5</v>
      </c>
      <c r="G182" s="22">
        <f t="shared" si="20"/>
        <v>6964.600538</v>
      </c>
      <c r="H182" s="8"/>
      <c r="I182" s="9">
        <f t="shared" si="2"/>
        <v>26</v>
      </c>
      <c r="J182" s="8"/>
      <c r="K182" s="27"/>
      <c r="L182" s="9">
        <f t="shared" si="4"/>
        <v>42477.31967</v>
      </c>
      <c r="M182" s="27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28"/>
      <c r="B183" s="19">
        <v>41821.0</v>
      </c>
      <c r="C183" s="20">
        <v>26.0</v>
      </c>
      <c r="D183" s="26">
        <v>182.0</v>
      </c>
      <c r="E183" s="9">
        <f>A185/31</f>
        <v>6676.967742</v>
      </c>
      <c r="F183" s="9">
        <f t="shared" si="21"/>
        <v>0.4666666667</v>
      </c>
      <c r="G183" s="22">
        <f t="shared" si="20"/>
        <v>6945.425018</v>
      </c>
      <c r="H183" s="8"/>
      <c r="I183" s="9">
        <f t="shared" si="2"/>
        <v>26</v>
      </c>
      <c r="J183" s="8"/>
      <c r="K183" s="27"/>
      <c r="L183" s="9">
        <f t="shared" si="4"/>
        <v>42477.31967</v>
      </c>
      <c r="M183" s="27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3" t="s">
        <v>70</v>
      </c>
      <c r="B184" s="19">
        <v>41822.0</v>
      </c>
      <c r="C184" s="20">
        <v>27.0</v>
      </c>
      <c r="D184" s="26">
        <v>183.0</v>
      </c>
      <c r="E184" s="9">
        <f>A185/31</f>
        <v>6676.967742</v>
      </c>
      <c r="F184" s="9">
        <f t="shared" si="21"/>
        <v>0.4333333333</v>
      </c>
      <c r="G184" s="22">
        <f t="shared" si="20"/>
        <v>6926.249498</v>
      </c>
      <c r="H184" s="8"/>
      <c r="I184" s="9">
        <f t="shared" si="2"/>
        <v>27</v>
      </c>
      <c r="J184" s="22">
        <f>SUM(G184:G190)</f>
        <v>48081.06057</v>
      </c>
      <c r="K184" s="24">
        <v>48081.06057</v>
      </c>
      <c r="L184" s="9">
        <f t="shared" si="4"/>
        <v>42477.31967</v>
      </c>
      <c r="M184" s="24">
        <v>42477.31967</v>
      </c>
      <c r="N184" s="25">
        <v>12980.83057</v>
      </c>
      <c r="O184" s="25">
        <v>11808.33923</v>
      </c>
      <c r="P184" s="25">
        <v>2771.25444</v>
      </c>
      <c r="Q184" s="25">
        <v>21452.69817</v>
      </c>
      <c r="R184" s="18"/>
      <c r="S184" s="25">
        <v>11121.85642</v>
      </c>
      <c r="T184" s="25">
        <v>10386.23852</v>
      </c>
      <c r="U184" s="25">
        <v>2619.17102</v>
      </c>
      <c r="V184" s="25">
        <v>18293.86649</v>
      </c>
      <c r="W184" s="25">
        <v>1858.974151</v>
      </c>
      <c r="X184" s="25">
        <v>1422.100711</v>
      </c>
      <c r="Y184" s="25">
        <v>152.08342</v>
      </c>
      <c r="Z184" s="25">
        <v>3158.831682</v>
      </c>
    </row>
    <row r="185">
      <c r="A185" s="20">
        <v>206986.0</v>
      </c>
      <c r="B185" s="19">
        <v>41823.0</v>
      </c>
      <c r="C185" s="20">
        <v>27.0</v>
      </c>
      <c r="D185" s="26">
        <v>184.0</v>
      </c>
      <c r="E185" s="9">
        <f t="shared" ref="E185:E213" si="22">E184</f>
        <v>6676.967742</v>
      </c>
      <c r="F185" s="9">
        <f t="shared" si="21"/>
        <v>0.4</v>
      </c>
      <c r="G185" s="22">
        <f t="shared" si="20"/>
        <v>6907.073978</v>
      </c>
      <c r="H185" s="8"/>
      <c r="I185" s="9">
        <f t="shared" si="2"/>
        <v>27</v>
      </c>
      <c r="J185" s="8"/>
      <c r="K185" s="27"/>
      <c r="L185" s="9">
        <f t="shared" si="4"/>
        <v>42477.31967</v>
      </c>
      <c r="M185" s="27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28"/>
      <c r="B186" s="19">
        <v>41824.0</v>
      </c>
      <c r="C186" s="20">
        <v>27.0</v>
      </c>
      <c r="D186" s="26">
        <v>185.0</v>
      </c>
      <c r="E186" s="9">
        <f t="shared" si="22"/>
        <v>6676.967742</v>
      </c>
      <c r="F186" s="9">
        <f t="shared" si="21"/>
        <v>0.3666666667</v>
      </c>
      <c r="G186" s="22">
        <f t="shared" si="20"/>
        <v>6887.898459</v>
      </c>
      <c r="H186" s="8"/>
      <c r="I186" s="9">
        <f t="shared" si="2"/>
        <v>27</v>
      </c>
      <c r="J186" s="8"/>
      <c r="K186" s="27"/>
      <c r="L186" s="9">
        <f t="shared" si="4"/>
        <v>42477.31967</v>
      </c>
      <c r="M186" s="27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28"/>
      <c r="B187" s="19">
        <v>41825.0</v>
      </c>
      <c r="C187" s="20">
        <v>27.0</v>
      </c>
      <c r="D187" s="26">
        <v>186.0</v>
      </c>
      <c r="E187" s="9">
        <f t="shared" si="22"/>
        <v>6676.967742</v>
      </c>
      <c r="F187" s="9">
        <f t="shared" si="21"/>
        <v>0.3333333333</v>
      </c>
      <c r="G187" s="22">
        <f t="shared" si="20"/>
        <v>6868.722939</v>
      </c>
      <c r="H187" s="8"/>
      <c r="I187" s="9">
        <f t="shared" si="2"/>
        <v>27</v>
      </c>
      <c r="J187" s="8"/>
      <c r="K187" s="27"/>
      <c r="L187" s="9">
        <f t="shared" si="4"/>
        <v>42477.31967</v>
      </c>
      <c r="M187" s="27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28"/>
      <c r="B188" s="19">
        <v>41826.0</v>
      </c>
      <c r="C188" s="20">
        <v>27.0</v>
      </c>
      <c r="D188" s="26">
        <v>187.0</v>
      </c>
      <c r="E188" s="9">
        <f t="shared" si="22"/>
        <v>6676.967742</v>
      </c>
      <c r="F188" s="9">
        <f t="shared" si="21"/>
        <v>0.3</v>
      </c>
      <c r="G188" s="22">
        <f t="shared" si="20"/>
        <v>6849.547419</v>
      </c>
      <c r="H188" s="8"/>
      <c r="I188" s="9">
        <f t="shared" si="2"/>
        <v>27</v>
      </c>
      <c r="J188" s="8"/>
      <c r="K188" s="27"/>
      <c r="L188" s="9">
        <f t="shared" si="4"/>
        <v>42477.31967</v>
      </c>
      <c r="M188" s="27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28"/>
      <c r="B189" s="19">
        <v>41827.0</v>
      </c>
      <c r="C189" s="20">
        <v>27.0</v>
      </c>
      <c r="D189" s="26">
        <v>188.0</v>
      </c>
      <c r="E189" s="9">
        <f t="shared" si="22"/>
        <v>6676.967742</v>
      </c>
      <c r="F189" s="9">
        <f t="shared" si="21"/>
        <v>0.2666666667</v>
      </c>
      <c r="G189" s="22">
        <f t="shared" si="20"/>
        <v>6830.3719</v>
      </c>
      <c r="H189" s="8"/>
      <c r="I189" s="9">
        <f t="shared" si="2"/>
        <v>27</v>
      </c>
      <c r="J189" s="8"/>
      <c r="K189" s="27"/>
      <c r="L189" s="9">
        <f t="shared" si="4"/>
        <v>42477.31967</v>
      </c>
      <c r="M189" s="27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28"/>
      <c r="B190" s="19">
        <v>41828.0</v>
      </c>
      <c r="C190" s="20">
        <v>27.0</v>
      </c>
      <c r="D190" s="26">
        <v>189.0</v>
      </c>
      <c r="E190" s="9">
        <f t="shared" si="22"/>
        <v>6676.967742</v>
      </c>
      <c r="F190" s="9">
        <f t="shared" si="21"/>
        <v>0.2333333333</v>
      </c>
      <c r="G190" s="22">
        <f t="shared" si="20"/>
        <v>6811.19638</v>
      </c>
      <c r="H190" s="8"/>
      <c r="I190" s="9">
        <f t="shared" si="2"/>
        <v>27</v>
      </c>
      <c r="J190" s="8"/>
      <c r="K190" s="27"/>
      <c r="L190" s="9">
        <f t="shared" si="4"/>
        <v>42477.31967</v>
      </c>
      <c r="M190" s="27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28"/>
      <c r="B191" s="19">
        <v>41829.0</v>
      </c>
      <c r="C191" s="20">
        <v>28.0</v>
      </c>
      <c r="D191" s="26">
        <v>190.0</v>
      </c>
      <c r="E191" s="9">
        <f t="shared" si="22"/>
        <v>6676.967742</v>
      </c>
      <c r="F191" s="9">
        <f t="shared" si="21"/>
        <v>0.2</v>
      </c>
      <c r="G191" s="22">
        <f t="shared" si="20"/>
        <v>6792.02086</v>
      </c>
      <c r="H191" s="8"/>
      <c r="I191" s="9">
        <f t="shared" si="2"/>
        <v>28</v>
      </c>
      <c r="J191" s="22">
        <f>SUM(G191:G197)</f>
        <v>47141.46011</v>
      </c>
      <c r="K191" s="24">
        <v>47141.46011</v>
      </c>
      <c r="L191" s="9">
        <f t="shared" si="4"/>
        <v>42477.31967</v>
      </c>
      <c r="M191" s="24">
        <v>42477.31967</v>
      </c>
      <c r="N191" s="25">
        <v>11943.45192</v>
      </c>
      <c r="O191" s="25">
        <v>11390.78325</v>
      </c>
      <c r="P191" s="25">
        <v>2956.522803</v>
      </c>
      <c r="Q191" s="25">
        <v>20281.99419</v>
      </c>
      <c r="R191" s="18"/>
      <c r="S191" s="25">
        <v>10796.25295</v>
      </c>
      <c r="T191" s="25">
        <v>10256.63863</v>
      </c>
      <c r="U191" s="25">
        <v>2473.658798</v>
      </c>
      <c r="V191" s="25">
        <v>19141.45324</v>
      </c>
      <c r="W191" s="25">
        <v>1147.19897</v>
      </c>
      <c r="X191" s="25">
        <v>1134.144617</v>
      </c>
      <c r="Y191" s="25">
        <v>482.8640057</v>
      </c>
      <c r="Z191" s="25">
        <v>1140.540941</v>
      </c>
    </row>
    <row r="192">
      <c r="A192" s="28"/>
      <c r="B192" s="19">
        <v>41830.0</v>
      </c>
      <c r="C192" s="20">
        <v>28.0</v>
      </c>
      <c r="D192" s="26">
        <v>191.0</v>
      </c>
      <c r="E192" s="9">
        <f t="shared" si="22"/>
        <v>6676.967742</v>
      </c>
      <c r="F192" s="9">
        <f t="shared" si="21"/>
        <v>0.1666666667</v>
      </c>
      <c r="G192" s="22">
        <f t="shared" si="20"/>
        <v>6772.845341</v>
      </c>
      <c r="H192" s="8"/>
      <c r="I192" s="9">
        <f t="shared" si="2"/>
        <v>28</v>
      </c>
      <c r="J192" s="8"/>
      <c r="K192" s="27"/>
      <c r="L192" s="9">
        <f t="shared" si="4"/>
        <v>42477.31967</v>
      </c>
      <c r="M192" s="27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28"/>
      <c r="B193" s="19">
        <v>41831.0</v>
      </c>
      <c r="C193" s="20">
        <v>28.0</v>
      </c>
      <c r="D193" s="26">
        <v>192.0</v>
      </c>
      <c r="E193" s="9">
        <f t="shared" si="22"/>
        <v>6676.967742</v>
      </c>
      <c r="F193" s="9">
        <f t="shared" si="21"/>
        <v>0.1333333333</v>
      </c>
      <c r="G193" s="22">
        <f t="shared" si="20"/>
        <v>6753.669821</v>
      </c>
      <c r="H193" s="8"/>
      <c r="I193" s="9">
        <f t="shared" si="2"/>
        <v>28</v>
      </c>
      <c r="J193" s="8"/>
      <c r="K193" s="27"/>
      <c r="L193" s="9">
        <f t="shared" si="4"/>
        <v>42477.31967</v>
      </c>
      <c r="M193" s="27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28"/>
      <c r="B194" s="19">
        <v>41832.0</v>
      </c>
      <c r="C194" s="20">
        <v>28.0</v>
      </c>
      <c r="D194" s="26">
        <v>193.0</v>
      </c>
      <c r="E194" s="9">
        <f t="shared" si="22"/>
        <v>6676.967742</v>
      </c>
      <c r="F194" s="9">
        <f t="shared" si="21"/>
        <v>0.1</v>
      </c>
      <c r="G194" s="22">
        <f t="shared" si="20"/>
        <v>6734.494301</v>
      </c>
      <c r="H194" s="8"/>
      <c r="I194" s="9">
        <f t="shared" si="2"/>
        <v>28</v>
      </c>
      <c r="J194" s="8"/>
      <c r="K194" s="27"/>
      <c r="L194" s="9">
        <f t="shared" si="4"/>
        <v>42477.31967</v>
      </c>
      <c r="M194" s="27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28"/>
      <c r="B195" s="19">
        <v>41833.0</v>
      </c>
      <c r="C195" s="20">
        <v>28.0</v>
      </c>
      <c r="D195" s="26">
        <v>194.0</v>
      </c>
      <c r="E195" s="9">
        <f t="shared" si="22"/>
        <v>6676.967742</v>
      </c>
      <c r="F195" s="9">
        <f t="shared" si="21"/>
        <v>0.06666666667</v>
      </c>
      <c r="G195" s="22">
        <f t="shared" si="20"/>
        <v>6715.318781</v>
      </c>
      <c r="H195" s="8"/>
      <c r="I195" s="9">
        <f t="shared" si="2"/>
        <v>28</v>
      </c>
      <c r="J195" s="8"/>
      <c r="K195" s="27"/>
      <c r="L195" s="9">
        <f t="shared" si="4"/>
        <v>42477.31967</v>
      </c>
      <c r="M195" s="27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28"/>
      <c r="B196" s="19">
        <v>41834.0</v>
      </c>
      <c r="C196" s="20">
        <v>28.0</v>
      </c>
      <c r="D196" s="26">
        <v>195.0</v>
      </c>
      <c r="E196" s="9">
        <f t="shared" si="22"/>
        <v>6676.967742</v>
      </c>
      <c r="F196" s="9">
        <f t="shared" si="21"/>
        <v>0.03333333333</v>
      </c>
      <c r="G196" s="22">
        <f t="shared" si="20"/>
        <v>6696.143262</v>
      </c>
      <c r="H196" s="8"/>
      <c r="I196" s="9">
        <f t="shared" si="2"/>
        <v>28</v>
      </c>
      <c r="J196" s="8"/>
      <c r="K196" s="27"/>
      <c r="L196" s="9">
        <f t="shared" si="4"/>
        <v>42477.31967</v>
      </c>
      <c r="M196" s="27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28"/>
      <c r="B197" s="19">
        <v>41835.0</v>
      </c>
      <c r="C197" s="20">
        <v>28.0</v>
      </c>
      <c r="D197" s="26">
        <v>196.0</v>
      </c>
      <c r="E197" s="9">
        <f t="shared" si="22"/>
        <v>6676.967742</v>
      </c>
      <c r="F197" s="9">
        <f t="shared" si="21"/>
        <v>0</v>
      </c>
      <c r="G197" s="22">
        <f t="shared" si="20"/>
        <v>6676.967742</v>
      </c>
      <c r="H197" s="8"/>
      <c r="I197" s="9">
        <f t="shared" si="2"/>
        <v>28</v>
      </c>
      <c r="J197" s="8"/>
      <c r="K197" s="27"/>
      <c r="L197" s="9">
        <f t="shared" si="4"/>
        <v>42477.31967</v>
      </c>
      <c r="M197" s="27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3"/>
      <c r="B198" s="19">
        <v>41836.0</v>
      </c>
      <c r="C198" s="20">
        <v>29.0</v>
      </c>
      <c r="D198" s="26">
        <v>197.0</v>
      </c>
      <c r="E198" s="9">
        <f t="shared" si="22"/>
        <v>6676.967742</v>
      </c>
      <c r="F198" s="9">
        <f t="shared" ref="F198:F228" si="23">abs((D198-227)/(227-196))</f>
        <v>0.9677419355</v>
      </c>
      <c r="G198" s="22">
        <f t="shared" ref="G198:G258" si="24">E183*F198+(1-F198)*E214</f>
        <v>6697.291363</v>
      </c>
      <c r="H198" s="8"/>
      <c r="I198" s="9">
        <f t="shared" si="2"/>
        <v>29</v>
      </c>
      <c r="J198" s="22">
        <f>SUM(G198:G204)</f>
        <v>47307.83559</v>
      </c>
      <c r="K198" s="24">
        <v>47307.83559</v>
      </c>
      <c r="L198" s="9">
        <f t="shared" si="4"/>
        <v>42477.31967</v>
      </c>
      <c r="M198" s="24">
        <v>42477.31967</v>
      </c>
      <c r="N198" s="25">
        <v>12434.3089</v>
      </c>
      <c r="O198" s="25">
        <v>11268.09784</v>
      </c>
      <c r="P198" s="25">
        <v>2880.974586</v>
      </c>
      <c r="Q198" s="25">
        <v>21242.87296</v>
      </c>
      <c r="R198" s="18"/>
      <c r="S198" s="25">
        <v>10907.09788</v>
      </c>
      <c r="T198" s="25">
        <v>9623.60942</v>
      </c>
      <c r="U198" s="25">
        <v>2552.947597</v>
      </c>
      <c r="V198" s="25">
        <v>17600.35206</v>
      </c>
      <c r="W198" s="25">
        <v>1527.211026</v>
      </c>
      <c r="X198" s="25">
        <v>1644.488417</v>
      </c>
      <c r="Y198" s="25">
        <v>328.0269892</v>
      </c>
      <c r="Z198" s="25">
        <v>3642.5209</v>
      </c>
    </row>
    <row r="199">
      <c r="A199" s="13"/>
      <c r="B199" s="19">
        <v>41837.0</v>
      </c>
      <c r="C199" s="20">
        <v>29.0</v>
      </c>
      <c r="D199" s="26">
        <v>198.0</v>
      </c>
      <c r="E199" s="9">
        <f t="shared" si="22"/>
        <v>6676.967742</v>
      </c>
      <c r="F199" s="9">
        <f t="shared" si="23"/>
        <v>0.935483871</v>
      </c>
      <c r="G199" s="22">
        <f t="shared" si="24"/>
        <v>6717.614984</v>
      </c>
      <c r="H199" s="8"/>
      <c r="I199" s="9">
        <f t="shared" si="2"/>
        <v>29</v>
      </c>
      <c r="J199" s="8"/>
      <c r="K199" s="27"/>
      <c r="L199" s="9">
        <f t="shared" si="4"/>
        <v>42477.31967</v>
      </c>
      <c r="M199" s="27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28"/>
      <c r="B200" s="19">
        <v>41838.0</v>
      </c>
      <c r="C200" s="20">
        <v>29.0</v>
      </c>
      <c r="D200" s="26">
        <v>199.0</v>
      </c>
      <c r="E200" s="9">
        <f t="shared" si="22"/>
        <v>6676.967742</v>
      </c>
      <c r="F200" s="9">
        <f t="shared" si="23"/>
        <v>0.9032258065</v>
      </c>
      <c r="G200" s="22">
        <f t="shared" si="24"/>
        <v>6737.938606</v>
      </c>
      <c r="H200" s="8"/>
      <c r="I200" s="9">
        <f t="shared" si="2"/>
        <v>29</v>
      </c>
      <c r="J200" s="8"/>
      <c r="K200" s="27"/>
      <c r="L200" s="9">
        <f t="shared" si="4"/>
        <v>42477.31967</v>
      </c>
      <c r="M200" s="27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28"/>
      <c r="B201" s="19">
        <v>41839.0</v>
      </c>
      <c r="C201" s="20">
        <v>29.0</v>
      </c>
      <c r="D201" s="26">
        <v>200.0</v>
      </c>
      <c r="E201" s="9">
        <f t="shared" si="22"/>
        <v>6676.967742</v>
      </c>
      <c r="F201" s="9">
        <f t="shared" si="23"/>
        <v>0.8709677419</v>
      </c>
      <c r="G201" s="22">
        <f t="shared" si="24"/>
        <v>6758.262227</v>
      </c>
      <c r="H201" s="8"/>
      <c r="I201" s="9">
        <f t="shared" si="2"/>
        <v>29</v>
      </c>
      <c r="J201" s="8"/>
      <c r="K201" s="27"/>
      <c r="L201" s="9">
        <f t="shared" si="4"/>
        <v>42477.31967</v>
      </c>
      <c r="M201" s="27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28"/>
      <c r="B202" s="19">
        <v>41840.0</v>
      </c>
      <c r="C202" s="20">
        <v>29.0</v>
      </c>
      <c r="D202" s="26">
        <v>201.0</v>
      </c>
      <c r="E202" s="9">
        <f t="shared" si="22"/>
        <v>6676.967742</v>
      </c>
      <c r="F202" s="9">
        <f t="shared" si="23"/>
        <v>0.8387096774</v>
      </c>
      <c r="G202" s="22">
        <f t="shared" si="24"/>
        <v>6778.585848</v>
      </c>
      <c r="H202" s="8"/>
      <c r="I202" s="9">
        <f t="shared" si="2"/>
        <v>29</v>
      </c>
      <c r="J202" s="8"/>
      <c r="K202" s="27"/>
      <c r="L202" s="9">
        <f t="shared" si="4"/>
        <v>42477.31967</v>
      </c>
      <c r="M202" s="27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28"/>
      <c r="B203" s="19">
        <v>41841.0</v>
      </c>
      <c r="C203" s="20">
        <v>29.0</v>
      </c>
      <c r="D203" s="26">
        <v>202.0</v>
      </c>
      <c r="E203" s="9">
        <f t="shared" si="22"/>
        <v>6676.967742</v>
      </c>
      <c r="F203" s="9">
        <f t="shared" si="23"/>
        <v>0.8064516129</v>
      </c>
      <c r="G203" s="22">
        <f t="shared" si="24"/>
        <v>6798.909469</v>
      </c>
      <c r="H203" s="8"/>
      <c r="I203" s="9">
        <f t="shared" si="2"/>
        <v>29</v>
      </c>
      <c r="J203" s="8"/>
      <c r="K203" s="27"/>
      <c r="L203" s="9">
        <f t="shared" si="4"/>
        <v>42477.31967</v>
      </c>
      <c r="M203" s="27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28"/>
      <c r="B204" s="19">
        <v>41842.0</v>
      </c>
      <c r="C204" s="20">
        <v>29.0</v>
      </c>
      <c r="D204" s="26">
        <v>203.0</v>
      </c>
      <c r="E204" s="9">
        <f t="shared" si="22"/>
        <v>6676.967742</v>
      </c>
      <c r="F204" s="9">
        <f t="shared" si="23"/>
        <v>0.7741935484</v>
      </c>
      <c r="G204" s="22">
        <f t="shared" si="24"/>
        <v>6819.233091</v>
      </c>
      <c r="H204" s="8"/>
      <c r="I204" s="9">
        <f t="shared" si="2"/>
        <v>29</v>
      </c>
      <c r="J204" s="8"/>
      <c r="K204" s="27"/>
      <c r="L204" s="9">
        <f t="shared" si="4"/>
        <v>42477.31967</v>
      </c>
      <c r="M204" s="27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28"/>
      <c r="B205" s="19">
        <v>41843.0</v>
      </c>
      <c r="C205" s="20">
        <v>30.0</v>
      </c>
      <c r="D205" s="26">
        <v>204.0</v>
      </c>
      <c r="E205" s="9">
        <f t="shared" si="22"/>
        <v>6676.967742</v>
      </c>
      <c r="F205" s="9">
        <f t="shared" si="23"/>
        <v>0.7419354839</v>
      </c>
      <c r="G205" s="22">
        <f t="shared" si="24"/>
        <v>6839.556712</v>
      </c>
      <c r="H205" s="8"/>
      <c r="I205" s="9">
        <f t="shared" si="2"/>
        <v>30</v>
      </c>
      <c r="J205" s="22">
        <f>SUM(G205:G211)</f>
        <v>48303.69303</v>
      </c>
      <c r="K205" s="24">
        <v>48303.69303</v>
      </c>
      <c r="L205" s="9">
        <f t="shared" si="4"/>
        <v>42477.31967</v>
      </c>
      <c r="M205" s="24">
        <v>42477.31967</v>
      </c>
      <c r="N205" s="25">
        <v>13143.28233</v>
      </c>
      <c r="O205" s="25">
        <v>11237.93164</v>
      </c>
      <c r="P205" s="25">
        <v>2907.134392</v>
      </c>
      <c r="Q205" s="25">
        <v>20445.52357</v>
      </c>
      <c r="R205" s="18"/>
      <c r="S205" s="25">
        <v>11582.51671</v>
      </c>
      <c r="T205" s="25">
        <v>9893.374169</v>
      </c>
      <c r="U205" s="25">
        <v>2519.21863</v>
      </c>
      <c r="V205" s="25">
        <v>18407.89744</v>
      </c>
      <c r="W205" s="25">
        <v>1560.76562</v>
      </c>
      <c r="X205" s="25">
        <v>1344.557469</v>
      </c>
      <c r="Y205" s="25">
        <v>387.9157621</v>
      </c>
      <c r="Z205" s="25">
        <v>2037.626138</v>
      </c>
    </row>
    <row r="206">
      <c r="A206" s="28"/>
      <c r="B206" s="19">
        <v>41844.0</v>
      </c>
      <c r="C206" s="20">
        <v>30.0</v>
      </c>
      <c r="D206" s="26">
        <v>205.0</v>
      </c>
      <c r="E206" s="9">
        <f t="shared" si="22"/>
        <v>6676.967742</v>
      </c>
      <c r="F206" s="9">
        <f t="shared" si="23"/>
        <v>0.7096774194</v>
      </c>
      <c r="G206" s="22">
        <f t="shared" si="24"/>
        <v>6859.880333</v>
      </c>
      <c r="H206" s="8"/>
      <c r="I206" s="9">
        <f t="shared" si="2"/>
        <v>30</v>
      </c>
      <c r="J206" s="8"/>
      <c r="K206" s="27"/>
      <c r="L206" s="9">
        <f t="shared" si="4"/>
        <v>42477.31967</v>
      </c>
      <c r="M206" s="27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28"/>
      <c r="B207" s="19">
        <v>41845.0</v>
      </c>
      <c r="C207" s="20">
        <v>30.0</v>
      </c>
      <c r="D207" s="26">
        <v>206.0</v>
      </c>
      <c r="E207" s="9">
        <f t="shared" si="22"/>
        <v>6676.967742</v>
      </c>
      <c r="F207" s="9">
        <f t="shared" si="23"/>
        <v>0.6774193548</v>
      </c>
      <c r="G207" s="22">
        <f t="shared" si="24"/>
        <v>6880.203954</v>
      </c>
      <c r="H207" s="8"/>
      <c r="I207" s="9">
        <f t="shared" si="2"/>
        <v>30</v>
      </c>
      <c r="J207" s="8"/>
      <c r="K207" s="27"/>
      <c r="L207" s="9">
        <f t="shared" si="4"/>
        <v>42477.31967</v>
      </c>
      <c r="M207" s="27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28"/>
      <c r="B208" s="19">
        <v>41846.0</v>
      </c>
      <c r="C208" s="20">
        <v>30.0</v>
      </c>
      <c r="D208" s="26">
        <v>207.0</v>
      </c>
      <c r="E208" s="9">
        <f t="shared" si="22"/>
        <v>6676.967742</v>
      </c>
      <c r="F208" s="9">
        <f t="shared" si="23"/>
        <v>0.6451612903</v>
      </c>
      <c r="G208" s="22">
        <f t="shared" si="24"/>
        <v>6900.527575</v>
      </c>
      <c r="H208" s="8"/>
      <c r="I208" s="9">
        <f t="shared" si="2"/>
        <v>30</v>
      </c>
      <c r="J208" s="8"/>
      <c r="K208" s="27"/>
      <c r="L208" s="9">
        <f t="shared" si="4"/>
        <v>42477.31967</v>
      </c>
      <c r="M208" s="27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28"/>
      <c r="B209" s="19">
        <v>41847.0</v>
      </c>
      <c r="C209" s="20">
        <v>30.0</v>
      </c>
      <c r="D209" s="26">
        <v>208.0</v>
      </c>
      <c r="E209" s="9">
        <f t="shared" si="22"/>
        <v>6676.967742</v>
      </c>
      <c r="F209" s="9">
        <f t="shared" si="23"/>
        <v>0.6129032258</v>
      </c>
      <c r="G209" s="22">
        <f t="shared" si="24"/>
        <v>6920.851197</v>
      </c>
      <c r="H209" s="8"/>
      <c r="I209" s="9">
        <f t="shared" si="2"/>
        <v>30</v>
      </c>
      <c r="J209" s="8"/>
      <c r="K209" s="27"/>
      <c r="L209" s="9">
        <f t="shared" si="4"/>
        <v>42477.31967</v>
      </c>
      <c r="M209" s="27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28"/>
      <c r="B210" s="19">
        <v>41848.0</v>
      </c>
      <c r="C210" s="20">
        <v>30.0</v>
      </c>
      <c r="D210" s="26">
        <v>209.0</v>
      </c>
      <c r="E210" s="9">
        <f t="shared" si="22"/>
        <v>6676.967742</v>
      </c>
      <c r="F210" s="9">
        <f t="shared" si="23"/>
        <v>0.5806451613</v>
      </c>
      <c r="G210" s="22">
        <f t="shared" si="24"/>
        <v>6941.174818</v>
      </c>
      <c r="H210" s="8"/>
      <c r="I210" s="9">
        <f t="shared" si="2"/>
        <v>30</v>
      </c>
      <c r="J210" s="8"/>
      <c r="K210" s="27"/>
      <c r="L210" s="9">
        <f t="shared" si="4"/>
        <v>42477.31967</v>
      </c>
      <c r="M210" s="27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28"/>
      <c r="B211" s="19">
        <v>41849.0</v>
      </c>
      <c r="C211" s="20">
        <v>30.0</v>
      </c>
      <c r="D211" s="26">
        <v>210.0</v>
      </c>
      <c r="E211" s="9">
        <f t="shared" si="22"/>
        <v>6676.967742</v>
      </c>
      <c r="F211" s="9">
        <f t="shared" si="23"/>
        <v>0.5483870968</v>
      </c>
      <c r="G211" s="22">
        <f t="shared" si="24"/>
        <v>6961.498439</v>
      </c>
      <c r="H211" s="8"/>
      <c r="I211" s="9">
        <f t="shared" si="2"/>
        <v>30</v>
      </c>
      <c r="J211" s="8"/>
      <c r="K211" s="27"/>
      <c r="L211" s="9">
        <f t="shared" si="4"/>
        <v>42477.31967</v>
      </c>
      <c r="M211" s="27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28"/>
      <c r="B212" s="19">
        <v>41850.0</v>
      </c>
      <c r="C212" s="20">
        <v>31.0</v>
      </c>
      <c r="D212" s="26">
        <v>211.0</v>
      </c>
      <c r="E212" s="9">
        <f t="shared" si="22"/>
        <v>6676.967742</v>
      </c>
      <c r="F212" s="9">
        <f t="shared" si="23"/>
        <v>0.5161290323</v>
      </c>
      <c r="G212" s="22">
        <f t="shared" si="24"/>
        <v>6981.82206</v>
      </c>
      <c r="H212" s="8"/>
      <c r="I212" s="9">
        <f t="shared" si="2"/>
        <v>31</v>
      </c>
      <c r="J212" s="22">
        <f>SUM(G212:G218)</f>
        <v>49299.55047</v>
      </c>
      <c r="K212" s="24">
        <v>49299.55047</v>
      </c>
      <c r="L212" s="9">
        <f t="shared" si="4"/>
        <v>42477.31967</v>
      </c>
      <c r="M212" s="24">
        <v>42477.31967</v>
      </c>
      <c r="N212" s="25">
        <v>13719.88202</v>
      </c>
      <c r="O212" s="25">
        <v>11402.88393</v>
      </c>
      <c r="P212" s="25">
        <v>2910.580795</v>
      </c>
      <c r="Q212" s="25">
        <v>21370.32046</v>
      </c>
      <c r="R212" s="18"/>
      <c r="S212" s="25">
        <v>10816.34893</v>
      </c>
      <c r="T212" s="25">
        <v>9708.699617</v>
      </c>
      <c r="U212" s="25">
        <v>2457.724316</v>
      </c>
      <c r="V212" s="25">
        <v>19197.03402</v>
      </c>
      <c r="W212" s="25">
        <v>2903.533096</v>
      </c>
      <c r="X212" s="25">
        <v>1694.184309</v>
      </c>
      <c r="Y212" s="25">
        <v>452.8564786</v>
      </c>
      <c r="Z212" s="25">
        <v>2173.286441</v>
      </c>
    </row>
    <row r="213">
      <c r="A213" s="28"/>
      <c r="B213" s="19">
        <v>41851.0</v>
      </c>
      <c r="C213" s="20">
        <v>31.0</v>
      </c>
      <c r="D213" s="26">
        <v>212.0</v>
      </c>
      <c r="E213" s="9">
        <f t="shared" si="22"/>
        <v>6676.967742</v>
      </c>
      <c r="F213" s="9">
        <f t="shared" si="23"/>
        <v>0.4838709677</v>
      </c>
      <c r="G213" s="22">
        <f t="shared" si="24"/>
        <v>7002.145682</v>
      </c>
      <c r="H213" s="8"/>
      <c r="I213" s="9">
        <f t="shared" si="2"/>
        <v>31</v>
      </c>
      <c r="J213" s="8"/>
      <c r="K213" s="27"/>
      <c r="L213" s="9">
        <f t="shared" si="4"/>
        <v>42477.31967</v>
      </c>
      <c r="M213" s="27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28"/>
      <c r="B214" s="19">
        <v>41852.0</v>
      </c>
      <c r="C214" s="20">
        <v>31.0</v>
      </c>
      <c r="D214" s="26">
        <v>213.0</v>
      </c>
      <c r="E214" s="9">
        <f>A216/31</f>
        <v>7307</v>
      </c>
      <c r="F214" s="9">
        <f t="shared" si="23"/>
        <v>0.4516129032</v>
      </c>
      <c r="G214" s="22">
        <f t="shared" si="24"/>
        <v>7022.469303</v>
      </c>
      <c r="H214" s="8"/>
      <c r="I214" s="9">
        <f t="shared" si="2"/>
        <v>31</v>
      </c>
      <c r="J214" s="8"/>
      <c r="K214" s="27"/>
      <c r="L214" s="9">
        <f t="shared" si="4"/>
        <v>42477.31967</v>
      </c>
      <c r="M214" s="27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3" t="s">
        <v>71</v>
      </c>
      <c r="B215" s="19">
        <v>41853.0</v>
      </c>
      <c r="C215" s="20">
        <v>31.0</v>
      </c>
      <c r="D215" s="26">
        <v>214.0</v>
      </c>
      <c r="E215" s="9">
        <f>A216/31</f>
        <v>7307</v>
      </c>
      <c r="F215" s="9">
        <f t="shared" si="23"/>
        <v>0.4193548387</v>
      </c>
      <c r="G215" s="22">
        <f t="shared" si="24"/>
        <v>7042.792924</v>
      </c>
      <c r="H215" s="8"/>
      <c r="I215" s="9">
        <f t="shared" si="2"/>
        <v>31</v>
      </c>
      <c r="J215" s="8"/>
      <c r="K215" s="27"/>
      <c r="L215" s="9">
        <f t="shared" si="4"/>
        <v>42477.31967</v>
      </c>
      <c r="M215" s="27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20">
        <v>226517.0</v>
      </c>
      <c r="B216" s="19">
        <v>41854.0</v>
      </c>
      <c r="C216" s="20">
        <v>31.0</v>
      </c>
      <c r="D216" s="26">
        <v>215.0</v>
      </c>
      <c r="E216" s="9">
        <f t="shared" ref="E216:E244" si="25">E215</f>
        <v>7307</v>
      </c>
      <c r="F216" s="9">
        <f t="shared" si="23"/>
        <v>0.3870967742</v>
      </c>
      <c r="G216" s="22">
        <f t="shared" si="24"/>
        <v>7063.116545</v>
      </c>
      <c r="H216" s="8"/>
      <c r="I216" s="9">
        <f t="shared" si="2"/>
        <v>31</v>
      </c>
      <c r="J216" s="8"/>
      <c r="K216" s="27"/>
      <c r="L216" s="9">
        <f t="shared" si="4"/>
        <v>42477.31967</v>
      </c>
      <c r="M216" s="27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28"/>
      <c r="B217" s="19">
        <v>41855.0</v>
      </c>
      <c r="C217" s="20">
        <v>31.0</v>
      </c>
      <c r="D217" s="26">
        <v>216.0</v>
      </c>
      <c r="E217" s="9">
        <f t="shared" si="25"/>
        <v>7307</v>
      </c>
      <c r="F217" s="9">
        <f t="shared" si="23"/>
        <v>0.3548387097</v>
      </c>
      <c r="G217" s="22">
        <f t="shared" si="24"/>
        <v>7083.440166</v>
      </c>
      <c r="H217" s="8"/>
      <c r="I217" s="9">
        <f t="shared" si="2"/>
        <v>31</v>
      </c>
      <c r="J217" s="8"/>
      <c r="K217" s="27"/>
      <c r="L217" s="9">
        <f t="shared" si="4"/>
        <v>42477.31967</v>
      </c>
      <c r="M217" s="27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28"/>
      <c r="B218" s="19">
        <v>41856.0</v>
      </c>
      <c r="C218" s="20">
        <v>31.0</v>
      </c>
      <c r="D218" s="26">
        <v>217.0</v>
      </c>
      <c r="E218" s="9">
        <f t="shared" si="25"/>
        <v>7307</v>
      </c>
      <c r="F218" s="9">
        <f t="shared" si="23"/>
        <v>0.3225806452</v>
      </c>
      <c r="G218" s="22">
        <f t="shared" si="24"/>
        <v>7103.763788</v>
      </c>
      <c r="H218" s="8"/>
      <c r="I218" s="9">
        <f t="shared" si="2"/>
        <v>31</v>
      </c>
      <c r="J218" s="8"/>
      <c r="K218" s="27"/>
      <c r="L218" s="9">
        <f t="shared" si="4"/>
        <v>42477.31967</v>
      </c>
      <c r="M218" s="27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28"/>
      <c r="B219" s="19">
        <v>41857.0</v>
      </c>
      <c r="C219" s="20">
        <v>32.0</v>
      </c>
      <c r="D219" s="26">
        <v>218.0</v>
      </c>
      <c r="E219" s="9">
        <f t="shared" si="25"/>
        <v>7307</v>
      </c>
      <c r="F219" s="9">
        <f t="shared" si="23"/>
        <v>0.2903225806</v>
      </c>
      <c r="G219" s="22">
        <f t="shared" si="24"/>
        <v>7124.087409</v>
      </c>
      <c r="H219" s="8"/>
      <c r="I219" s="9">
        <f t="shared" si="2"/>
        <v>32</v>
      </c>
      <c r="J219" s="22">
        <f>SUM(G219:G225)</f>
        <v>50295.40791</v>
      </c>
      <c r="K219" s="24">
        <v>50295.40791</v>
      </c>
      <c r="L219" s="9">
        <f t="shared" si="4"/>
        <v>42477.31967</v>
      </c>
      <c r="M219" s="24">
        <v>42477.31967</v>
      </c>
      <c r="N219" s="25">
        <v>13056.71855</v>
      </c>
      <c r="O219" s="25">
        <v>11477.99532</v>
      </c>
      <c r="P219" s="25">
        <v>2963.690528</v>
      </c>
      <c r="Q219" s="25">
        <v>22289.46666</v>
      </c>
      <c r="R219" s="18"/>
      <c r="S219" s="25">
        <v>11291.17834</v>
      </c>
      <c r="T219" s="25">
        <v>10436.44931</v>
      </c>
      <c r="U219" s="25">
        <v>2581.252011</v>
      </c>
      <c r="V219" s="25">
        <v>17891.99743</v>
      </c>
      <c r="W219" s="25">
        <v>1765.540203</v>
      </c>
      <c r="X219" s="25">
        <v>1041.546006</v>
      </c>
      <c r="Y219" s="25">
        <v>382.4385175</v>
      </c>
      <c r="Z219" s="25">
        <v>4397.469226</v>
      </c>
    </row>
    <row r="220">
      <c r="A220" s="28"/>
      <c r="B220" s="19">
        <v>41858.0</v>
      </c>
      <c r="C220" s="20">
        <v>32.0</v>
      </c>
      <c r="D220" s="26">
        <v>219.0</v>
      </c>
      <c r="E220" s="9">
        <f t="shared" si="25"/>
        <v>7307</v>
      </c>
      <c r="F220" s="9">
        <f t="shared" si="23"/>
        <v>0.2580645161</v>
      </c>
      <c r="G220" s="22">
        <f t="shared" si="24"/>
        <v>7144.41103</v>
      </c>
      <c r="H220" s="8"/>
      <c r="I220" s="9">
        <f t="shared" si="2"/>
        <v>32</v>
      </c>
      <c r="J220" s="8"/>
      <c r="K220" s="27"/>
      <c r="L220" s="9">
        <f t="shared" si="4"/>
        <v>42477.31967</v>
      </c>
      <c r="M220" s="27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28"/>
      <c r="B221" s="19">
        <v>41859.0</v>
      </c>
      <c r="C221" s="20">
        <v>32.0</v>
      </c>
      <c r="D221" s="26">
        <v>220.0</v>
      </c>
      <c r="E221" s="9">
        <f t="shared" si="25"/>
        <v>7307</v>
      </c>
      <c r="F221" s="9">
        <f t="shared" si="23"/>
        <v>0.2258064516</v>
      </c>
      <c r="G221" s="22">
        <f t="shared" si="24"/>
        <v>7164.734651</v>
      </c>
      <c r="H221" s="8"/>
      <c r="I221" s="9">
        <f t="shared" si="2"/>
        <v>32</v>
      </c>
      <c r="J221" s="8"/>
      <c r="K221" s="27"/>
      <c r="L221" s="9">
        <f t="shared" si="4"/>
        <v>42477.31967</v>
      </c>
      <c r="M221" s="27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28"/>
      <c r="B222" s="19">
        <v>41860.0</v>
      </c>
      <c r="C222" s="20">
        <v>32.0</v>
      </c>
      <c r="D222" s="26">
        <v>221.0</v>
      </c>
      <c r="E222" s="9">
        <f t="shared" si="25"/>
        <v>7307</v>
      </c>
      <c r="F222" s="9">
        <f t="shared" si="23"/>
        <v>0.1935483871</v>
      </c>
      <c r="G222" s="22">
        <f t="shared" si="24"/>
        <v>7185.058273</v>
      </c>
      <c r="H222" s="8"/>
      <c r="I222" s="9">
        <f t="shared" si="2"/>
        <v>32</v>
      </c>
      <c r="J222" s="8"/>
      <c r="K222" s="27"/>
      <c r="L222" s="9">
        <f t="shared" si="4"/>
        <v>42477.31967</v>
      </c>
      <c r="M222" s="27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28"/>
      <c r="B223" s="19">
        <v>41861.0</v>
      </c>
      <c r="C223" s="20">
        <v>32.0</v>
      </c>
      <c r="D223" s="26">
        <v>222.0</v>
      </c>
      <c r="E223" s="9">
        <f t="shared" si="25"/>
        <v>7307</v>
      </c>
      <c r="F223" s="9">
        <f t="shared" si="23"/>
        <v>0.1612903226</v>
      </c>
      <c r="G223" s="22">
        <f t="shared" si="24"/>
        <v>7205.381894</v>
      </c>
      <c r="H223" s="8"/>
      <c r="I223" s="9">
        <f t="shared" si="2"/>
        <v>32</v>
      </c>
      <c r="J223" s="8"/>
      <c r="K223" s="27"/>
      <c r="L223" s="9">
        <f t="shared" si="4"/>
        <v>42477.31967</v>
      </c>
      <c r="M223" s="27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28"/>
      <c r="B224" s="19">
        <v>41862.0</v>
      </c>
      <c r="C224" s="20">
        <v>32.0</v>
      </c>
      <c r="D224" s="26">
        <v>223.0</v>
      </c>
      <c r="E224" s="9">
        <f t="shared" si="25"/>
        <v>7307</v>
      </c>
      <c r="F224" s="9">
        <f t="shared" si="23"/>
        <v>0.1290322581</v>
      </c>
      <c r="G224" s="22">
        <f t="shared" si="24"/>
        <v>7225.705515</v>
      </c>
      <c r="H224" s="8"/>
      <c r="I224" s="9">
        <f t="shared" si="2"/>
        <v>32</v>
      </c>
      <c r="J224" s="8"/>
      <c r="K224" s="27"/>
      <c r="L224" s="9">
        <f t="shared" si="4"/>
        <v>42477.31967</v>
      </c>
      <c r="M224" s="27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28"/>
      <c r="B225" s="19">
        <v>41863.0</v>
      </c>
      <c r="C225" s="20">
        <v>32.0</v>
      </c>
      <c r="D225" s="26">
        <v>224.0</v>
      </c>
      <c r="E225" s="9">
        <f t="shared" si="25"/>
        <v>7307</v>
      </c>
      <c r="F225" s="9">
        <f t="shared" si="23"/>
        <v>0.09677419355</v>
      </c>
      <c r="G225" s="22">
        <f t="shared" si="24"/>
        <v>7246.029136</v>
      </c>
      <c r="H225" s="8"/>
      <c r="I225" s="9">
        <f t="shared" si="2"/>
        <v>32</v>
      </c>
      <c r="J225" s="8"/>
      <c r="K225" s="27"/>
      <c r="L225" s="9">
        <f t="shared" si="4"/>
        <v>42477.31967</v>
      </c>
      <c r="M225" s="27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28"/>
      <c r="B226" s="19">
        <v>41864.0</v>
      </c>
      <c r="C226" s="20">
        <v>33.0</v>
      </c>
      <c r="D226" s="26">
        <v>225.0</v>
      </c>
      <c r="E226" s="9">
        <f t="shared" si="25"/>
        <v>7307</v>
      </c>
      <c r="F226" s="9">
        <f t="shared" si="23"/>
        <v>0.06451612903</v>
      </c>
      <c r="G226" s="22">
        <f t="shared" si="24"/>
        <v>7266.352758</v>
      </c>
      <c r="H226" s="8"/>
      <c r="I226" s="9">
        <f t="shared" si="2"/>
        <v>33</v>
      </c>
      <c r="J226" s="22">
        <f>SUM(G226:G232)</f>
        <v>50721.10441</v>
      </c>
      <c r="K226" s="24">
        <v>50721.10441</v>
      </c>
      <c r="L226" s="9">
        <f t="shared" si="4"/>
        <v>42477.31967</v>
      </c>
      <c r="M226" s="24">
        <v>42477.31967</v>
      </c>
      <c r="N226" s="25">
        <v>13079.06105</v>
      </c>
      <c r="O226" s="25">
        <v>12054.58096</v>
      </c>
      <c r="P226" s="25">
        <v>3055.819128</v>
      </c>
      <c r="Q226" s="25">
        <v>21755.12474</v>
      </c>
      <c r="R226" s="18"/>
      <c r="S226" s="25">
        <v>10759.22927</v>
      </c>
      <c r="T226" s="25">
        <v>10518.48646</v>
      </c>
      <c r="U226" s="25">
        <v>2505.586107</v>
      </c>
      <c r="V226" s="25">
        <v>18094.43684</v>
      </c>
      <c r="W226" s="25">
        <v>2319.831772</v>
      </c>
      <c r="X226" s="25">
        <v>1536.094492</v>
      </c>
      <c r="Y226" s="25">
        <v>550.2330214</v>
      </c>
      <c r="Z226" s="25">
        <v>3660.687902</v>
      </c>
    </row>
    <row r="227">
      <c r="A227" s="28"/>
      <c r="B227" s="19">
        <v>41865.0</v>
      </c>
      <c r="C227" s="20">
        <v>33.0</v>
      </c>
      <c r="D227" s="26">
        <v>226.0</v>
      </c>
      <c r="E227" s="9">
        <f t="shared" si="25"/>
        <v>7307</v>
      </c>
      <c r="F227" s="9">
        <f t="shared" si="23"/>
        <v>0.03225806452</v>
      </c>
      <c r="G227" s="22">
        <f t="shared" si="24"/>
        <v>7286.676379</v>
      </c>
      <c r="H227" s="8"/>
      <c r="I227" s="9">
        <f t="shared" si="2"/>
        <v>33</v>
      </c>
      <c r="J227" s="8"/>
      <c r="K227" s="27"/>
      <c r="L227" s="9">
        <f t="shared" si="4"/>
        <v>42477.31967</v>
      </c>
      <c r="M227" s="27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28"/>
      <c r="B228" s="19">
        <v>41866.0</v>
      </c>
      <c r="C228" s="20">
        <v>33.0</v>
      </c>
      <c r="D228" s="26">
        <v>227.0</v>
      </c>
      <c r="E228" s="9">
        <f t="shared" si="25"/>
        <v>7307</v>
      </c>
      <c r="F228" s="9">
        <f t="shared" si="23"/>
        <v>0</v>
      </c>
      <c r="G228" s="22">
        <f t="shared" si="24"/>
        <v>7307</v>
      </c>
      <c r="H228" s="8"/>
      <c r="I228" s="9">
        <f t="shared" si="2"/>
        <v>33</v>
      </c>
      <c r="J228" s="8"/>
      <c r="K228" s="27"/>
      <c r="L228" s="9">
        <f t="shared" si="4"/>
        <v>42477.31967</v>
      </c>
      <c r="M228" s="27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3"/>
      <c r="B229" s="19">
        <v>41867.0</v>
      </c>
      <c r="C229" s="20">
        <v>33.0</v>
      </c>
      <c r="D229" s="26">
        <v>228.0</v>
      </c>
      <c r="E229" s="9">
        <f t="shared" si="25"/>
        <v>7307</v>
      </c>
      <c r="F229" s="9">
        <f t="shared" ref="F229:F259" si="26">abs((D229-258)/(258-227))</f>
        <v>0.9677419355</v>
      </c>
      <c r="G229" s="22">
        <f t="shared" si="24"/>
        <v>7270.307527</v>
      </c>
      <c r="H229" s="8"/>
      <c r="I229" s="9">
        <f t="shared" si="2"/>
        <v>33</v>
      </c>
      <c r="J229" s="8"/>
      <c r="K229" s="27"/>
      <c r="L229" s="9">
        <f t="shared" si="4"/>
        <v>42477.31967</v>
      </c>
      <c r="M229" s="27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3"/>
      <c r="B230" s="19">
        <v>41868.0</v>
      </c>
      <c r="C230" s="20">
        <v>33.0</v>
      </c>
      <c r="D230" s="26">
        <v>229.0</v>
      </c>
      <c r="E230" s="9">
        <f t="shared" si="25"/>
        <v>7307</v>
      </c>
      <c r="F230" s="9">
        <f t="shared" si="26"/>
        <v>0.935483871</v>
      </c>
      <c r="G230" s="22">
        <f t="shared" si="24"/>
        <v>7233.615054</v>
      </c>
      <c r="H230" s="8"/>
      <c r="I230" s="9">
        <f t="shared" si="2"/>
        <v>33</v>
      </c>
      <c r="J230" s="8"/>
      <c r="K230" s="27"/>
      <c r="L230" s="9">
        <f t="shared" si="4"/>
        <v>42477.31967</v>
      </c>
      <c r="M230" s="27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28"/>
      <c r="B231" s="19">
        <v>41869.0</v>
      </c>
      <c r="C231" s="20">
        <v>33.0</v>
      </c>
      <c r="D231" s="26">
        <v>230.0</v>
      </c>
      <c r="E231" s="9">
        <f t="shared" si="25"/>
        <v>7307</v>
      </c>
      <c r="F231" s="9">
        <f t="shared" si="26"/>
        <v>0.9032258065</v>
      </c>
      <c r="G231" s="22">
        <f t="shared" si="24"/>
        <v>7196.922581</v>
      </c>
      <c r="H231" s="8"/>
      <c r="I231" s="9">
        <f t="shared" si="2"/>
        <v>33</v>
      </c>
      <c r="J231" s="8"/>
      <c r="K231" s="27"/>
      <c r="L231" s="9">
        <f t="shared" si="4"/>
        <v>42477.31967</v>
      </c>
      <c r="M231" s="27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28"/>
      <c r="B232" s="19">
        <v>41870.0</v>
      </c>
      <c r="C232" s="20">
        <v>33.0</v>
      </c>
      <c r="D232" s="26">
        <v>231.0</v>
      </c>
      <c r="E232" s="9">
        <f t="shared" si="25"/>
        <v>7307</v>
      </c>
      <c r="F232" s="9">
        <f t="shared" si="26"/>
        <v>0.8709677419</v>
      </c>
      <c r="G232" s="22">
        <f t="shared" si="24"/>
        <v>7160.230108</v>
      </c>
      <c r="H232" s="8"/>
      <c r="I232" s="9">
        <f t="shared" si="2"/>
        <v>33</v>
      </c>
      <c r="J232" s="8"/>
      <c r="K232" s="27"/>
      <c r="L232" s="9">
        <f t="shared" si="4"/>
        <v>42477.31967</v>
      </c>
      <c r="M232" s="27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28"/>
      <c r="B233" s="19">
        <v>41871.0</v>
      </c>
      <c r="C233" s="20">
        <v>34.0</v>
      </c>
      <c r="D233" s="26">
        <v>232.0</v>
      </c>
      <c r="E233" s="9">
        <f t="shared" si="25"/>
        <v>7307</v>
      </c>
      <c r="F233" s="9">
        <f t="shared" si="26"/>
        <v>0.8387096774</v>
      </c>
      <c r="G233" s="22">
        <f t="shared" si="24"/>
        <v>7123.537634</v>
      </c>
      <c r="H233" s="8"/>
      <c r="I233" s="9">
        <f t="shared" si="2"/>
        <v>34</v>
      </c>
      <c r="J233" s="22">
        <f>SUM(G233:G239)</f>
        <v>49094.22151</v>
      </c>
      <c r="K233" s="24">
        <v>49094.22151</v>
      </c>
      <c r="L233" s="9">
        <f t="shared" si="4"/>
        <v>42477.31967</v>
      </c>
      <c r="M233" s="24">
        <v>42477.31967</v>
      </c>
      <c r="N233" s="25">
        <v>13167.58982</v>
      </c>
      <c r="O233" s="25">
        <v>11531.84724</v>
      </c>
      <c r="P233" s="25">
        <v>3017.011947</v>
      </c>
      <c r="Q233" s="25">
        <v>20906.2133</v>
      </c>
      <c r="R233" s="18"/>
      <c r="S233" s="25">
        <v>11266.87178</v>
      </c>
      <c r="T233" s="25">
        <v>10159.85734</v>
      </c>
      <c r="U233" s="25">
        <v>2641.983199</v>
      </c>
      <c r="V233" s="25">
        <v>17618.27274</v>
      </c>
      <c r="W233" s="25">
        <v>1900.71804</v>
      </c>
      <c r="X233" s="25">
        <v>1371.989899</v>
      </c>
      <c r="Y233" s="25">
        <v>375.0287479</v>
      </c>
      <c r="Z233" s="25">
        <v>3287.94056</v>
      </c>
    </row>
    <row r="234">
      <c r="A234" s="28"/>
      <c r="B234" s="19">
        <v>41872.0</v>
      </c>
      <c r="C234" s="20">
        <v>34.0</v>
      </c>
      <c r="D234" s="26">
        <v>233.0</v>
      </c>
      <c r="E234" s="9">
        <f t="shared" si="25"/>
        <v>7307</v>
      </c>
      <c r="F234" s="9">
        <f t="shared" si="26"/>
        <v>0.8064516129</v>
      </c>
      <c r="G234" s="22">
        <f t="shared" si="24"/>
        <v>7086.845161</v>
      </c>
      <c r="H234" s="8"/>
      <c r="I234" s="9">
        <f t="shared" si="2"/>
        <v>34</v>
      </c>
      <c r="J234" s="8"/>
      <c r="K234" s="27"/>
      <c r="L234" s="9">
        <f t="shared" si="4"/>
        <v>42477.31967</v>
      </c>
      <c r="M234" s="27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28"/>
      <c r="B235" s="19">
        <v>41873.0</v>
      </c>
      <c r="C235" s="20">
        <v>34.0</v>
      </c>
      <c r="D235" s="26">
        <v>234.0</v>
      </c>
      <c r="E235" s="9">
        <f t="shared" si="25"/>
        <v>7307</v>
      </c>
      <c r="F235" s="9">
        <f t="shared" si="26"/>
        <v>0.7741935484</v>
      </c>
      <c r="G235" s="22">
        <f t="shared" si="24"/>
        <v>7050.152688</v>
      </c>
      <c r="H235" s="8"/>
      <c r="I235" s="9">
        <f t="shared" si="2"/>
        <v>34</v>
      </c>
      <c r="J235" s="8"/>
      <c r="K235" s="27"/>
      <c r="L235" s="9">
        <f t="shared" si="4"/>
        <v>42477.31967</v>
      </c>
      <c r="M235" s="27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28"/>
      <c r="B236" s="19">
        <v>41874.0</v>
      </c>
      <c r="C236" s="20">
        <v>34.0</v>
      </c>
      <c r="D236" s="26">
        <v>235.0</v>
      </c>
      <c r="E236" s="9">
        <f t="shared" si="25"/>
        <v>7307</v>
      </c>
      <c r="F236" s="9">
        <f t="shared" si="26"/>
        <v>0.7419354839</v>
      </c>
      <c r="G236" s="22">
        <f t="shared" si="24"/>
        <v>7013.460215</v>
      </c>
      <c r="H236" s="8"/>
      <c r="I236" s="9">
        <f t="shared" si="2"/>
        <v>34</v>
      </c>
      <c r="J236" s="8"/>
      <c r="K236" s="27"/>
      <c r="L236" s="9">
        <f t="shared" si="4"/>
        <v>42477.31967</v>
      </c>
      <c r="M236" s="27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28"/>
      <c r="B237" s="19">
        <v>41875.0</v>
      </c>
      <c r="C237" s="20">
        <v>34.0</v>
      </c>
      <c r="D237" s="26">
        <v>236.0</v>
      </c>
      <c r="E237" s="9">
        <f t="shared" si="25"/>
        <v>7307</v>
      </c>
      <c r="F237" s="9">
        <f t="shared" si="26"/>
        <v>0.7096774194</v>
      </c>
      <c r="G237" s="22">
        <f t="shared" si="24"/>
        <v>6976.767742</v>
      </c>
      <c r="H237" s="8"/>
      <c r="I237" s="9">
        <f t="shared" si="2"/>
        <v>34</v>
      </c>
      <c r="J237" s="8"/>
      <c r="K237" s="27"/>
      <c r="L237" s="9">
        <f t="shared" si="4"/>
        <v>42477.31967</v>
      </c>
      <c r="M237" s="27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28"/>
      <c r="B238" s="19">
        <v>41876.0</v>
      </c>
      <c r="C238" s="20">
        <v>34.0</v>
      </c>
      <c r="D238" s="26">
        <v>237.0</v>
      </c>
      <c r="E238" s="9">
        <f t="shared" si="25"/>
        <v>7307</v>
      </c>
      <c r="F238" s="9">
        <f t="shared" si="26"/>
        <v>0.6774193548</v>
      </c>
      <c r="G238" s="22">
        <f t="shared" si="24"/>
        <v>6940.075269</v>
      </c>
      <c r="H238" s="8"/>
      <c r="I238" s="9">
        <f t="shared" si="2"/>
        <v>34</v>
      </c>
      <c r="J238" s="8"/>
      <c r="K238" s="27"/>
      <c r="L238" s="9">
        <f t="shared" si="4"/>
        <v>42477.31967</v>
      </c>
      <c r="M238" s="27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28"/>
      <c r="B239" s="19">
        <v>41877.0</v>
      </c>
      <c r="C239" s="20">
        <v>34.0</v>
      </c>
      <c r="D239" s="26">
        <v>238.0</v>
      </c>
      <c r="E239" s="9">
        <f t="shared" si="25"/>
        <v>7307</v>
      </c>
      <c r="F239" s="9">
        <f t="shared" si="26"/>
        <v>0.6451612903</v>
      </c>
      <c r="G239" s="22">
        <f t="shared" si="24"/>
        <v>6903.382796</v>
      </c>
      <c r="H239" s="8"/>
      <c r="I239" s="9">
        <f t="shared" si="2"/>
        <v>34</v>
      </c>
      <c r="J239" s="8"/>
      <c r="K239" s="27"/>
      <c r="L239" s="9">
        <f t="shared" si="4"/>
        <v>42477.31967</v>
      </c>
      <c r="M239" s="27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28"/>
      <c r="B240" s="19">
        <v>41878.0</v>
      </c>
      <c r="C240" s="20">
        <v>35.0</v>
      </c>
      <c r="D240" s="26">
        <v>239.0</v>
      </c>
      <c r="E240" s="9">
        <f t="shared" si="25"/>
        <v>7307</v>
      </c>
      <c r="F240" s="9">
        <f t="shared" si="26"/>
        <v>0.6129032258</v>
      </c>
      <c r="G240" s="22">
        <f t="shared" si="24"/>
        <v>6866.690323</v>
      </c>
      <c r="H240" s="8"/>
      <c r="I240" s="9">
        <f t="shared" si="2"/>
        <v>35</v>
      </c>
      <c r="J240" s="22">
        <f>SUM(G240:G246)</f>
        <v>47296.29032</v>
      </c>
      <c r="K240" s="24">
        <v>47296.29032</v>
      </c>
      <c r="L240" s="9">
        <f t="shared" si="4"/>
        <v>42477.31967</v>
      </c>
      <c r="M240" s="24">
        <v>42477.31967</v>
      </c>
      <c r="N240" s="25">
        <v>12929.98004</v>
      </c>
      <c r="O240" s="25">
        <v>11740.71834</v>
      </c>
      <c r="P240" s="25">
        <v>2725.262062</v>
      </c>
      <c r="Q240" s="25">
        <v>20836.13353</v>
      </c>
      <c r="R240" s="18"/>
      <c r="S240" s="25">
        <v>10922.95297</v>
      </c>
      <c r="T240" s="25">
        <v>10026.72831</v>
      </c>
      <c r="U240" s="25">
        <v>2695.215265</v>
      </c>
      <c r="V240" s="25">
        <v>19198.33715</v>
      </c>
      <c r="W240" s="25">
        <v>2007.02707</v>
      </c>
      <c r="X240" s="25">
        <v>1713.990028</v>
      </c>
      <c r="Y240" s="25">
        <v>30.04679693</v>
      </c>
      <c r="Z240" s="25">
        <v>1637.79638</v>
      </c>
    </row>
    <row r="241">
      <c r="A241" s="28"/>
      <c r="B241" s="19">
        <v>41879.0</v>
      </c>
      <c r="C241" s="20">
        <v>35.0</v>
      </c>
      <c r="D241" s="26">
        <v>240.0</v>
      </c>
      <c r="E241" s="9">
        <f t="shared" si="25"/>
        <v>7307</v>
      </c>
      <c r="F241" s="9">
        <f t="shared" si="26"/>
        <v>0.5806451613</v>
      </c>
      <c r="G241" s="22">
        <f t="shared" si="24"/>
        <v>6829.997849</v>
      </c>
      <c r="H241" s="8"/>
      <c r="I241" s="9">
        <f t="shared" si="2"/>
        <v>35</v>
      </c>
      <c r="J241" s="8"/>
      <c r="K241" s="27"/>
      <c r="L241" s="9">
        <f t="shared" si="4"/>
        <v>42477.31967</v>
      </c>
      <c r="M241" s="27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28"/>
      <c r="B242" s="19">
        <v>41880.0</v>
      </c>
      <c r="C242" s="20">
        <v>35.0</v>
      </c>
      <c r="D242" s="26">
        <v>241.0</v>
      </c>
      <c r="E242" s="9">
        <f t="shared" si="25"/>
        <v>7307</v>
      </c>
      <c r="F242" s="9">
        <f t="shared" si="26"/>
        <v>0.5483870968</v>
      </c>
      <c r="G242" s="22">
        <f t="shared" si="24"/>
        <v>6793.305376</v>
      </c>
      <c r="H242" s="8"/>
      <c r="I242" s="9">
        <f t="shared" si="2"/>
        <v>35</v>
      </c>
      <c r="J242" s="8"/>
      <c r="K242" s="27"/>
      <c r="L242" s="9">
        <f t="shared" si="4"/>
        <v>42477.31967</v>
      </c>
      <c r="M242" s="27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28"/>
      <c r="B243" s="19">
        <v>41881.0</v>
      </c>
      <c r="C243" s="20">
        <v>35.0</v>
      </c>
      <c r="D243" s="26">
        <v>242.0</v>
      </c>
      <c r="E243" s="9">
        <f t="shared" si="25"/>
        <v>7307</v>
      </c>
      <c r="F243" s="9">
        <f t="shared" si="26"/>
        <v>0.5161290323</v>
      </c>
      <c r="G243" s="22">
        <f t="shared" si="24"/>
        <v>6756.612903</v>
      </c>
      <c r="H243" s="8"/>
      <c r="I243" s="9">
        <f t="shared" si="2"/>
        <v>35</v>
      </c>
      <c r="J243" s="8"/>
      <c r="K243" s="27"/>
      <c r="L243" s="9">
        <f t="shared" si="4"/>
        <v>42477.31967</v>
      </c>
      <c r="M243" s="27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28"/>
      <c r="B244" s="19">
        <v>41882.0</v>
      </c>
      <c r="C244" s="20">
        <v>35.0</v>
      </c>
      <c r="D244" s="26">
        <v>243.0</v>
      </c>
      <c r="E244" s="9">
        <f t="shared" si="25"/>
        <v>7307</v>
      </c>
      <c r="F244" s="9">
        <f t="shared" si="26"/>
        <v>0.4838709677</v>
      </c>
      <c r="G244" s="22">
        <f t="shared" si="24"/>
        <v>6719.92043</v>
      </c>
      <c r="H244" s="8"/>
      <c r="I244" s="9">
        <f t="shared" si="2"/>
        <v>35</v>
      </c>
      <c r="J244" s="8"/>
      <c r="K244" s="27"/>
      <c r="L244" s="9">
        <f t="shared" si="4"/>
        <v>42477.31967</v>
      </c>
      <c r="M244" s="27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28"/>
      <c r="B245" s="19">
        <v>41883.0</v>
      </c>
      <c r="C245" s="20">
        <v>35.0</v>
      </c>
      <c r="D245" s="26">
        <v>244.0</v>
      </c>
      <c r="E245" s="9">
        <f>A247/30</f>
        <v>6169.533333</v>
      </c>
      <c r="F245" s="9">
        <f t="shared" si="26"/>
        <v>0.4516129032</v>
      </c>
      <c r="G245" s="22">
        <f t="shared" si="24"/>
        <v>6683.227957</v>
      </c>
      <c r="H245" s="8"/>
      <c r="I245" s="9">
        <f t="shared" si="2"/>
        <v>35</v>
      </c>
      <c r="J245" s="8"/>
      <c r="K245" s="27"/>
      <c r="L245" s="9">
        <f t="shared" si="4"/>
        <v>42477.31967</v>
      </c>
      <c r="M245" s="27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3" t="s">
        <v>72</v>
      </c>
      <c r="B246" s="19">
        <v>41884.0</v>
      </c>
      <c r="C246" s="20">
        <v>35.0</v>
      </c>
      <c r="D246" s="26">
        <v>245.0</v>
      </c>
      <c r="E246" s="9">
        <f>A247/30</f>
        <v>6169.533333</v>
      </c>
      <c r="F246" s="9">
        <f t="shared" si="26"/>
        <v>0.4193548387</v>
      </c>
      <c r="G246" s="22">
        <f t="shared" si="24"/>
        <v>6646.535484</v>
      </c>
      <c r="H246" s="8"/>
      <c r="I246" s="9">
        <f t="shared" si="2"/>
        <v>35</v>
      </c>
      <c r="J246" s="8"/>
      <c r="K246" s="27"/>
      <c r="L246" s="9">
        <f t="shared" si="4"/>
        <v>42477.31967</v>
      </c>
      <c r="M246" s="27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20">
        <v>185086.0</v>
      </c>
      <c r="B247" s="19">
        <v>41885.0</v>
      </c>
      <c r="C247" s="20">
        <v>36.0</v>
      </c>
      <c r="D247" s="26">
        <v>246.0</v>
      </c>
      <c r="E247" s="9">
        <f t="shared" ref="E247:E274" si="27">E246</f>
        <v>6169.533333</v>
      </c>
      <c r="F247" s="9">
        <f t="shared" si="26"/>
        <v>0.3870967742</v>
      </c>
      <c r="G247" s="22">
        <f t="shared" si="24"/>
        <v>6609.843011</v>
      </c>
      <c r="H247" s="8"/>
      <c r="I247" s="9">
        <f t="shared" si="2"/>
        <v>36</v>
      </c>
      <c r="J247" s="22">
        <f>SUM(G247:G253)</f>
        <v>45498.35914</v>
      </c>
      <c r="K247" s="24">
        <v>45498.35914</v>
      </c>
      <c r="L247" s="9">
        <f t="shared" si="4"/>
        <v>42477.31967</v>
      </c>
      <c r="M247" s="24">
        <v>42477.31967</v>
      </c>
      <c r="N247" s="25">
        <v>12451.94784</v>
      </c>
      <c r="O247" s="25">
        <v>10267.01855</v>
      </c>
      <c r="P247" s="25">
        <v>2824.687249</v>
      </c>
      <c r="Q247" s="25">
        <v>20140.61753</v>
      </c>
      <c r="R247" s="18"/>
      <c r="S247" s="25">
        <v>11028.02801</v>
      </c>
      <c r="T247" s="25">
        <v>9613.332016</v>
      </c>
      <c r="U247" s="25">
        <v>2699.209241</v>
      </c>
      <c r="V247" s="25">
        <v>18601.25611</v>
      </c>
      <c r="W247" s="25">
        <v>1423.91983</v>
      </c>
      <c r="X247" s="25">
        <v>653.6865349</v>
      </c>
      <c r="Y247" s="25">
        <v>125.4780081</v>
      </c>
      <c r="Z247" s="25">
        <v>1539.361416</v>
      </c>
    </row>
    <row r="248">
      <c r="A248" s="28"/>
      <c r="B248" s="19">
        <v>41886.0</v>
      </c>
      <c r="C248" s="20">
        <v>36.0</v>
      </c>
      <c r="D248" s="26">
        <v>247.0</v>
      </c>
      <c r="E248" s="9">
        <f t="shared" si="27"/>
        <v>6169.533333</v>
      </c>
      <c r="F248" s="9">
        <f t="shared" si="26"/>
        <v>0.3548387097</v>
      </c>
      <c r="G248" s="22">
        <f t="shared" si="24"/>
        <v>6573.150538</v>
      </c>
      <c r="H248" s="8"/>
      <c r="I248" s="9">
        <f t="shared" si="2"/>
        <v>36</v>
      </c>
      <c r="J248" s="8"/>
      <c r="K248" s="27"/>
      <c r="L248" s="9">
        <f t="shared" si="4"/>
        <v>42477.31967</v>
      </c>
      <c r="M248" s="27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28"/>
      <c r="B249" s="19">
        <v>41887.0</v>
      </c>
      <c r="C249" s="20">
        <v>36.0</v>
      </c>
      <c r="D249" s="26">
        <v>248.0</v>
      </c>
      <c r="E249" s="9">
        <f t="shared" si="27"/>
        <v>6169.533333</v>
      </c>
      <c r="F249" s="9">
        <f t="shared" si="26"/>
        <v>0.3225806452</v>
      </c>
      <c r="G249" s="22">
        <f t="shared" si="24"/>
        <v>6536.458065</v>
      </c>
      <c r="H249" s="8"/>
      <c r="I249" s="9">
        <f t="shared" si="2"/>
        <v>36</v>
      </c>
      <c r="J249" s="8"/>
      <c r="K249" s="27"/>
      <c r="L249" s="9">
        <f t="shared" si="4"/>
        <v>42477.31967</v>
      </c>
      <c r="M249" s="27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28"/>
      <c r="B250" s="19">
        <v>41888.0</v>
      </c>
      <c r="C250" s="20">
        <v>36.0</v>
      </c>
      <c r="D250" s="26">
        <v>249.0</v>
      </c>
      <c r="E250" s="9">
        <f t="shared" si="27"/>
        <v>6169.533333</v>
      </c>
      <c r="F250" s="9">
        <f t="shared" si="26"/>
        <v>0.2903225806</v>
      </c>
      <c r="G250" s="22">
        <f t="shared" si="24"/>
        <v>6499.765591</v>
      </c>
      <c r="H250" s="8"/>
      <c r="I250" s="9">
        <f t="shared" si="2"/>
        <v>36</v>
      </c>
      <c r="J250" s="8"/>
      <c r="K250" s="27"/>
      <c r="L250" s="9">
        <f t="shared" si="4"/>
        <v>42477.31967</v>
      </c>
      <c r="M250" s="27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28"/>
      <c r="B251" s="19">
        <v>41889.0</v>
      </c>
      <c r="C251" s="20">
        <v>36.0</v>
      </c>
      <c r="D251" s="26">
        <v>250.0</v>
      </c>
      <c r="E251" s="9">
        <f t="shared" si="27"/>
        <v>6169.533333</v>
      </c>
      <c r="F251" s="9">
        <f t="shared" si="26"/>
        <v>0.2580645161</v>
      </c>
      <c r="G251" s="22">
        <f t="shared" si="24"/>
        <v>6463.073118</v>
      </c>
      <c r="H251" s="8"/>
      <c r="I251" s="9">
        <f t="shared" si="2"/>
        <v>36</v>
      </c>
      <c r="J251" s="8"/>
      <c r="K251" s="27"/>
      <c r="L251" s="9">
        <f t="shared" si="4"/>
        <v>42477.31967</v>
      </c>
      <c r="M251" s="27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28"/>
      <c r="B252" s="19">
        <v>41890.0</v>
      </c>
      <c r="C252" s="20">
        <v>36.0</v>
      </c>
      <c r="D252" s="26">
        <v>251.0</v>
      </c>
      <c r="E252" s="9">
        <f t="shared" si="27"/>
        <v>6169.533333</v>
      </c>
      <c r="F252" s="9">
        <f t="shared" si="26"/>
        <v>0.2258064516</v>
      </c>
      <c r="G252" s="22">
        <f t="shared" si="24"/>
        <v>6426.380645</v>
      </c>
      <c r="H252" s="8"/>
      <c r="I252" s="9">
        <f t="shared" si="2"/>
        <v>36</v>
      </c>
      <c r="J252" s="8"/>
      <c r="K252" s="27"/>
      <c r="L252" s="9">
        <f t="shared" si="4"/>
        <v>42477.31967</v>
      </c>
      <c r="M252" s="27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28"/>
      <c r="B253" s="19">
        <v>41891.0</v>
      </c>
      <c r="C253" s="20">
        <v>36.0</v>
      </c>
      <c r="D253" s="26">
        <v>252.0</v>
      </c>
      <c r="E253" s="9">
        <f t="shared" si="27"/>
        <v>6169.533333</v>
      </c>
      <c r="F253" s="9">
        <f t="shared" si="26"/>
        <v>0.1935483871</v>
      </c>
      <c r="G253" s="22">
        <f t="shared" si="24"/>
        <v>6389.688172</v>
      </c>
      <c r="H253" s="8"/>
      <c r="I253" s="9">
        <f t="shared" si="2"/>
        <v>36</v>
      </c>
      <c r="J253" s="8"/>
      <c r="K253" s="27"/>
      <c r="L253" s="9">
        <f t="shared" si="4"/>
        <v>42477.31967</v>
      </c>
      <c r="M253" s="27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28"/>
      <c r="B254" s="19">
        <v>41892.0</v>
      </c>
      <c r="C254" s="20">
        <v>37.0</v>
      </c>
      <c r="D254" s="26">
        <v>253.0</v>
      </c>
      <c r="E254" s="9">
        <f t="shared" si="27"/>
        <v>6169.533333</v>
      </c>
      <c r="F254" s="9">
        <f t="shared" si="26"/>
        <v>0.1612903226</v>
      </c>
      <c r="G254" s="22">
        <f t="shared" si="24"/>
        <v>6352.995699</v>
      </c>
      <c r="H254" s="8"/>
      <c r="I254" s="9">
        <f t="shared" si="2"/>
        <v>37</v>
      </c>
      <c r="J254" s="22">
        <f>SUM(G254:G260)</f>
        <v>43759.67792</v>
      </c>
      <c r="K254" s="24">
        <v>43759.67792</v>
      </c>
      <c r="L254" s="9">
        <f t="shared" si="4"/>
        <v>42477.31967</v>
      </c>
      <c r="M254" s="24">
        <v>42477.31967</v>
      </c>
      <c r="N254" s="25">
        <v>11381.21561</v>
      </c>
      <c r="O254" s="25">
        <v>10775.58975</v>
      </c>
      <c r="P254" s="25">
        <v>2778.728353</v>
      </c>
      <c r="Q254" s="25">
        <v>19206.85416</v>
      </c>
      <c r="R254" s="18"/>
      <c r="S254" s="25">
        <v>11231.46942</v>
      </c>
      <c r="T254" s="25">
        <v>9638.744801</v>
      </c>
      <c r="U254" s="25">
        <v>2626.628818</v>
      </c>
      <c r="V254" s="25">
        <v>17708.71292</v>
      </c>
      <c r="W254" s="25">
        <v>149.746187</v>
      </c>
      <c r="X254" s="25">
        <v>1136.844952</v>
      </c>
      <c r="Y254" s="25">
        <v>152.0995347</v>
      </c>
      <c r="Z254" s="25">
        <v>1498.141236</v>
      </c>
    </row>
    <row r="255">
      <c r="A255" s="28"/>
      <c r="B255" s="19">
        <v>41893.0</v>
      </c>
      <c r="C255" s="20">
        <v>37.0</v>
      </c>
      <c r="D255" s="26">
        <v>254.0</v>
      </c>
      <c r="E255" s="9">
        <f t="shared" si="27"/>
        <v>6169.533333</v>
      </c>
      <c r="F255" s="9">
        <f t="shared" si="26"/>
        <v>0.1290322581</v>
      </c>
      <c r="G255" s="22">
        <f t="shared" si="24"/>
        <v>6316.303226</v>
      </c>
      <c r="H255" s="8"/>
      <c r="I255" s="9">
        <f t="shared" si="2"/>
        <v>37</v>
      </c>
      <c r="J255" s="8"/>
      <c r="K255" s="27"/>
      <c r="L255" s="9">
        <f t="shared" si="4"/>
        <v>42477.31967</v>
      </c>
      <c r="M255" s="27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28"/>
      <c r="B256" s="19">
        <v>41894.0</v>
      </c>
      <c r="C256" s="20">
        <v>37.0</v>
      </c>
      <c r="D256" s="26">
        <v>255.0</v>
      </c>
      <c r="E256" s="9">
        <f t="shared" si="27"/>
        <v>6169.533333</v>
      </c>
      <c r="F256" s="9">
        <f t="shared" si="26"/>
        <v>0.09677419355</v>
      </c>
      <c r="G256" s="22">
        <f t="shared" si="24"/>
        <v>6279.610753</v>
      </c>
      <c r="H256" s="8"/>
      <c r="I256" s="9">
        <f t="shared" si="2"/>
        <v>37</v>
      </c>
      <c r="J256" s="8"/>
      <c r="K256" s="27"/>
      <c r="L256" s="9">
        <f t="shared" si="4"/>
        <v>42477.31967</v>
      </c>
      <c r="M256" s="27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28"/>
      <c r="B257" s="19">
        <v>41895.0</v>
      </c>
      <c r="C257" s="20">
        <v>37.0</v>
      </c>
      <c r="D257" s="26">
        <v>256.0</v>
      </c>
      <c r="E257" s="9">
        <f t="shared" si="27"/>
        <v>6169.533333</v>
      </c>
      <c r="F257" s="9">
        <f t="shared" si="26"/>
        <v>0.06451612903</v>
      </c>
      <c r="G257" s="22">
        <f t="shared" si="24"/>
        <v>6242.91828</v>
      </c>
      <c r="H257" s="8"/>
      <c r="I257" s="9">
        <f t="shared" si="2"/>
        <v>37</v>
      </c>
      <c r="J257" s="8"/>
      <c r="K257" s="27"/>
      <c r="L257" s="9">
        <f t="shared" si="4"/>
        <v>42477.31967</v>
      </c>
      <c r="M257" s="27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28"/>
      <c r="B258" s="19">
        <v>41896.0</v>
      </c>
      <c r="C258" s="20">
        <v>37.0</v>
      </c>
      <c r="D258" s="26">
        <v>257.0</v>
      </c>
      <c r="E258" s="9">
        <f t="shared" si="27"/>
        <v>6169.533333</v>
      </c>
      <c r="F258" s="9">
        <f t="shared" si="26"/>
        <v>0.03225806452</v>
      </c>
      <c r="G258" s="22">
        <f t="shared" si="24"/>
        <v>6206.225806</v>
      </c>
      <c r="H258" s="8"/>
      <c r="I258" s="9">
        <f t="shared" si="2"/>
        <v>37</v>
      </c>
      <c r="J258" s="8"/>
      <c r="K258" s="27"/>
      <c r="L258" s="9">
        <f t="shared" si="4"/>
        <v>42477.31967</v>
      </c>
      <c r="M258" s="27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28"/>
      <c r="B259" s="19">
        <v>41897.0</v>
      </c>
      <c r="C259" s="20">
        <v>37.0</v>
      </c>
      <c r="D259" s="26">
        <v>258.0</v>
      </c>
      <c r="E259" s="9">
        <f t="shared" si="27"/>
        <v>6169.533333</v>
      </c>
      <c r="F259" s="9">
        <f t="shared" si="26"/>
        <v>0</v>
      </c>
      <c r="G259" s="22">
        <f>E259</f>
        <v>6169.533333</v>
      </c>
      <c r="H259" s="8"/>
      <c r="I259" s="9">
        <f t="shared" si="2"/>
        <v>37</v>
      </c>
      <c r="J259" s="8"/>
      <c r="K259" s="27"/>
      <c r="L259" s="9">
        <f t="shared" si="4"/>
        <v>42477.31967</v>
      </c>
      <c r="M259" s="27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3"/>
      <c r="B260" s="19">
        <v>41898.0</v>
      </c>
      <c r="C260" s="20">
        <v>37.0</v>
      </c>
      <c r="D260" s="26">
        <v>259.0</v>
      </c>
      <c r="E260" s="9">
        <f t="shared" si="27"/>
        <v>6169.533333</v>
      </c>
      <c r="F260" s="9">
        <f t="shared" ref="F260:F289" si="28">abs((D260-288)/(258-288))</f>
        <v>0.9666666667</v>
      </c>
      <c r="G260" s="22">
        <f t="shared" ref="G260:G289" si="29">E245*F260+(1-F260)*E275</f>
        <v>6192.090824</v>
      </c>
      <c r="H260" s="8"/>
      <c r="I260" s="9">
        <f t="shared" si="2"/>
        <v>37</v>
      </c>
      <c r="J260" s="8"/>
      <c r="K260" s="27"/>
      <c r="L260" s="9">
        <f t="shared" si="4"/>
        <v>42477.31967</v>
      </c>
      <c r="M260" s="27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3"/>
      <c r="B261" s="19">
        <v>41899.0</v>
      </c>
      <c r="C261" s="20">
        <v>38.0</v>
      </c>
      <c r="D261" s="26">
        <v>260.0</v>
      </c>
      <c r="E261" s="9">
        <f t="shared" si="27"/>
        <v>6169.533333</v>
      </c>
      <c r="F261" s="9">
        <f t="shared" si="28"/>
        <v>0.9333333333</v>
      </c>
      <c r="G261" s="22">
        <f t="shared" si="29"/>
        <v>6214.648315</v>
      </c>
      <c r="H261" s="8"/>
      <c r="I261" s="9">
        <f t="shared" si="2"/>
        <v>38</v>
      </c>
      <c r="J261" s="22">
        <f>SUM(G261:G267)</f>
        <v>43976.24552</v>
      </c>
      <c r="K261" s="24">
        <v>43976.24552</v>
      </c>
      <c r="L261" s="9">
        <f t="shared" si="4"/>
        <v>42477.31967</v>
      </c>
      <c r="M261" s="24">
        <v>42477.31967</v>
      </c>
      <c r="N261" s="25">
        <v>12120.58704</v>
      </c>
      <c r="O261" s="25">
        <v>10057.12369</v>
      </c>
      <c r="P261" s="25">
        <v>2629.916471</v>
      </c>
      <c r="Q261" s="25">
        <v>18260.33431</v>
      </c>
      <c r="R261" s="18"/>
      <c r="S261" s="25">
        <v>11060.55628</v>
      </c>
      <c r="T261" s="25">
        <v>10042.79351</v>
      </c>
      <c r="U261" s="25">
        <v>2526.053177</v>
      </c>
      <c r="V261" s="25">
        <v>19302.78333</v>
      </c>
      <c r="W261" s="25">
        <v>1060.030763</v>
      </c>
      <c r="X261" s="25">
        <v>14.33018283</v>
      </c>
      <c r="Y261" s="25">
        <v>103.863294</v>
      </c>
      <c r="Z261" s="25">
        <v>-1042.449019</v>
      </c>
    </row>
    <row r="262">
      <c r="A262" s="28"/>
      <c r="B262" s="19">
        <v>41900.0</v>
      </c>
      <c r="C262" s="20">
        <v>38.0</v>
      </c>
      <c r="D262" s="26">
        <v>261.0</v>
      </c>
      <c r="E262" s="9">
        <f t="shared" si="27"/>
        <v>6169.533333</v>
      </c>
      <c r="F262" s="9">
        <f t="shared" si="28"/>
        <v>0.9</v>
      </c>
      <c r="G262" s="22">
        <f t="shared" si="29"/>
        <v>6237.205806</v>
      </c>
      <c r="H262" s="8"/>
      <c r="I262" s="9">
        <f t="shared" si="2"/>
        <v>38</v>
      </c>
      <c r="J262" s="8"/>
      <c r="K262" s="27"/>
      <c r="L262" s="9">
        <f t="shared" si="4"/>
        <v>42477.31967</v>
      </c>
      <c r="M262" s="27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28"/>
      <c r="B263" s="19">
        <v>41901.0</v>
      </c>
      <c r="C263" s="20">
        <v>38.0</v>
      </c>
      <c r="D263" s="26">
        <v>262.0</v>
      </c>
      <c r="E263" s="9">
        <f t="shared" si="27"/>
        <v>6169.533333</v>
      </c>
      <c r="F263" s="9">
        <f t="shared" si="28"/>
        <v>0.8666666667</v>
      </c>
      <c r="G263" s="22">
        <f t="shared" si="29"/>
        <v>6259.763297</v>
      </c>
      <c r="H263" s="8"/>
      <c r="I263" s="9">
        <f t="shared" si="2"/>
        <v>38</v>
      </c>
      <c r="J263" s="8"/>
      <c r="K263" s="27"/>
      <c r="L263" s="9">
        <f t="shared" si="4"/>
        <v>42477.31967</v>
      </c>
      <c r="M263" s="27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28"/>
      <c r="B264" s="19">
        <v>41902.0</v>
      </c>
      <c r="C264" s="20">
        <v>38.0</v>
      </c>
      <c r="D264" s="26">
        <v>263.0</v>
      </c>
      <c r="E264" s="9">
        <f t="shared" si="27"/>
        <v>6169.533333</v>
      </c>
      <c r="F264" s="9">
        <f t="shared" si="28"/>
        <v>0.8333333333</v>
      </c>
      <c r="G264" s="22">
        <f t="shared" si="29"/>
        <v>6282.320789</v>
      </c>
      <c r="H264" s="8"/>
      <c r="I264" s="9">
        <f t="shared" si="2"/>
        <v>38</v>
      </c>
      <c r="J264" s="8"/>
      <c r="K264" s="27"/>
      <c r="L264" s="9">
        <f t="shared" si="4"/>
        <v>42477.31967</v>
      </c>
      <c r="M264" s="27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28"/>
      <c r="B265" s="19">
        <v>41903.0</v>
      </c>
      <c r="C265" s="20">
        <v>38.0</v>
      </c>
      <c r="D265" s="26">
        <v>264.0</v>
      </c>
      <c r="E265" s="9">
        <f t="shared" si="27"/>
        <v>6169.533333</v>
      </c>
      <c r="F265" s="9">
        <f t="shared" si="28"/>
        <v>0.8</v>
      </c>
      <c r="G265" s="22">
        <f t="shared" si="29"/>
        <v>6304.87828</v>
      </c>
      <c r="H265" s="8"/>
      <c r="I265" s="9">
        <f t="shared" si="2"/>
        <v>38</v>
      </c>
      <c r="J265" s="8"/>
      <c r="K265" s="27"/>
      <c r="L265" s="9">
        <f t="shared" si="4"/>
        <v>42477.31967</v>
      </c>
      <c r="M265" s="27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28"/>
      <c r="B266" s="19">
        <v>41904.0</v>
      </c>
      <c r="C266" s="20">
        <v>38.0</v>
      </c>
      <c r="D266" s="26">
        <v>265.0</v>
      </c>
      <c r="E266" s="9">
        <f t="shared" si="27"/>
        <v>6169.533333</v>
      </c>
      <c r="F266" s="9">
        <f t="shared" si="28"/>
        <v>0.7666666667</v>
      </c>
      <c r="G266" s="22">
        <f t="shared" si="29"/>
        <v>6327.435771</v>
      </c>
      <c r="H266" s="8"/>
      <c r="I266" s="9">
        <f t="shared" si="2"/>
        <v>38</v>
      </c>
      <c r="J266" s="8"/>
      <c r="K266" s="27"/>
      <c r="L266" s="9">
        <f t="shared" si="4"/>
        <v>42477.31967</v>
      </c>
      <c r="M266" s="27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28"/>
      <c r="B267" s="19">
        <v>41905.0</v>
      </c>
      <c r="C267" s="20">
        <v>38.0</v>
      </c>
      <c r="D267" s="26">
        <v>266.0</v>
      </c>
      <c r="E267" s="9">
        <f t="shared" si="27"/>
        <v>6169.533333</v>
      </c>
      <c r="F267" s="9">
        <f t="shared" si="28"/>
        <v>0.7333333333</v>
      </c>
      <c r="G267" s="22">
        <f t="shared" si="29"/>
        <v>6349.993262</v>
      </c>
      <c r="H267" s="8"/>
      <c r="I267" s="9">
        <f t="shared" si="2"/>
        <v>38</v>
      </c>
      <c r="J267" s="8"/>
      <c r="K267" s="27"/>
      <c r="L267" s="9">
        <f t="shared" si="4"/>
        <v>42477.31967</v>
      </c>
      <c r="M267" s="27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28"/>
      <c r="B268" s="19">
        <v>41906.0</v>
      </c>
      <c r="C268" s="20">
        <v>39.0</v>
      </c>
      <c r="D268" s="26">
        <v>267.0</v>
      </c>
      <c r="E268" s="9">
        <f t="shared" si="27"/>
        <v>6169.533333</v>
      </c>
      <c r="F268" s="9">
        <f t="shared" si="28"/>
        <v>0.7</v>
      </c>
      <c r="G268" s="22">
        <f t="shared" si="29"/>
        <v>6372.550753</v>
      </c>
      <c r="H268" s="8"/>
      <c r="I268" s="9">
        <f t="shared" si="2"/>
        <v>39</v>
      </c>
      <c r="J268" s="22">
        <f>SUM(G268:G274)</f>
        <v>45081.56258</v>
      </c>
      <c r="K268" s="24">
        <v>45081.56258</v>
      </c>
      <c r="L268" s="9">
        <f t="shared" si="4"/>
        <v>42477.31967</v>
      </c>
      <c r="M268" s="24">
        <v>42477.31967</v>
      </c>
      <c r="N268" s="25">
        <v>12519.20814</v>
      </c>
      <c r="O268" s="25">
        <v>10185.26606</v>
      </c>
      <c r="P268" s="25">
        <v>2724.622427</v>
      </c>
      <c r="Q268" s="25">
        <v>20458.21944</v>
      </c>
      <c r="R268" s="18"/>
      <c r="S268" s="25">
        <v>11025.73352</v>
      </c>
      <c r="T268" s="25">
        <v>9979.882378</v>
      </c>
      <c r="U268" s="25">
        <v>2634.69889</v>
      </c>
      <c r="V268" s="25">
        <v>18726.75665</v>
      </c>
      <c r="W268" s="25">
        <v>1493.474624</v>
      </c>
      <c r="X268" s="25">
        <v>205.3836833</v>
      </c>
      <c r="Y268" s="25">
        <v>89.92353617</v>
      </c>
      <c r="Z268" s="25">
        <v>1731.462786</v>
      </c>
    </row>
    <row r="269">
      <c r="A269" s="28"/>
      <c r="B269" s="19">
        <v>41907.0</v>
      </c>
      <c r="C269" s="20">
        <v>39.0</v>
      </c>
      <c r="D269" s="26">
        <v>268.0</v>
      </c>
      <c r="E269" s="9">
        <f t="shared" si="27"/>
        <v>6169.533333</v>
      </c>
      <c r="F269" s="9">
        <f t="shared" si="28"/>
        <v>0.6666666667</v>
      </c>
      <c r="G269" s="22">
        <f t="shared" si="29"/>
        <v>6395.108244</v>
      </c>
      <c r="H269" s="8"/>
      <c r="I269" s="9">
        <f t="shared" si="2"/>
        <v>39</v>
      </c>
      <c r="J269" s="8"/>
      <c r="K269" s="27"/>
      <c r="L269" s="9">
        <f t="shared" si="4"/>
        <v>42477.31967</v>
      </c>
      <c r="M269" s="27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28"/>
      <c r="B270" s="19">
        <v>41908.0</v>
      </c>
      <c r="C270" s="20">
        <v>39.0</v>
      </c>
      <c r="D270" s="26">
        <v>269.0</v>
      </c>
      <c r="E270" s="9">
        <f t="shared" si="27"/>
        <v>6169.533333</v>
      </c>
      <c r="F270" s="9">
        <f t="shared" si="28"/>
        <v>0.6333333333</v>
      </c>
      <c r="G270" s="22">
        <f t="shared" si="29"/>
        <v>6417.665735</v>
      </c>
      <c r="H270" s="8"/>
      <c r="I270" s="9">
        <f t="shared" si="2"/>
        <v>39</v>
      </c>
      <c r="J270" s="8"/>
      <c r="K270" s="27"/>
      <c r="L270" s="9">
        <f t="shared" si="4"/>
        <v>42477.31967</v>
      </c>
      <c r="M270" s="27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28"/>
      <c r="B271" s="19">
        <v>41909.0</v>
      </c>
      <c r="C271" s="20">
        <v>39.0</v>
      </c>
      <c r="D271" s="26">
        <v>270.0</v>
      </c>
      <c r="E271" s="9">
        <f t="shared" si="27"/>
        <v>6169.533333</v>
      </c>
      <c r="F271" s="9">
        <f t="shared" si="28"/>
        <v>0.6</v>
      </c>
      <c r="G271" s="22">
        <f t="shared" si="29"/>
        <v>6440.223226</v>
      </c>
      <c r="H271" s="8"/>
      <c r="I271" s="9">
        <f t="shared" si="2"/>
        <v>39</v>
      </c>
      <c r="J271" s="8"/>
      <c r="K271" s="27"/>
      <c r="L271" s="9">
        <f t="shared" si="4"/>
        <v>42477.31967</v>
      </c>
      <c r="M271" s="27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28"/>
      <c r="B272" s="19">
        <v>41910.0</v>
      </c>
      <c r="C272" s="20">
        <v>39.0</v>
      </c>
      <c r="D272" s="26">
        <v>271.0</v>
      </c>
      <c r="E272" s="9">
        <f t="shared" si="27"/>
        <v>6169.533333</v>
      </c>
      <c r="F272" s="9">
        <f t="shared" si="28"/>
        <v>0.5666666667</v>
      </c>
      <c r="G272" s="22">
        <f t="shared" si="29"/>
        <v>6462.780717</v>
      </c>
      <c r="H272" s="8"/>
      <c r="I272" s="9">
        <f t="shared" si="2"/>
        <v>39</v>
      </c>
      <c r="J272" s="8"/>
      <c r="K272" s="27"/>
      <c r="L272" s="9">
        <f t="shared" si="4"/>
        <v>42477.31967</v>
      </c>
      <c r="M272" s="27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28"/>
      <c r="B273" s="19">
        <v>41911.0</v>
      </c>
      <c r="C273" s="20">
        <v>39.0</v>
      </c>
      <c r="D273" s="26">
        <v>272.0</v>
      </c>
      <c r="E273" s="9">
        <f t="shared" si="27"/>
        <v>6169.533333</v>
      </c>
      <c r="F273" s="9">
        <f t="shared" si="28"/>
        <v>0.5333333333</v>
      </c>
      <c r="G273" s="22">
        <f t="shared" si="29"/>
        <v>6485.338208</v>
      </c>
      <c r="H273" s="8"/>
      <c r="I273" s="9">
        <f t="shared" si="2"/>
        <v>39</v>
      </c>
      <c r="J273" s="8"/>
      <c r="K273" s="27"/>
      <c r="L273" s="9">
        <f t="shared" si="4"/>
        <v>42477.31967</v>
      </c>
      <c r="M273" s="27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28"/>
      <c r="B274" s="19">
        <v>41912.0</v>
      </c>
      <c r="C274" s="20">
        <v>39.0</v>
      </c>
      <c r="D274" s="26">
        <v>273.0</v>
      </c>
      <c r="E274" s="9">
        <f t="shared" si="27"/>
        <v>6169.533333</v>
      </c>
      <c r="F274" s="9">
        <f t="shared" si="28"/>
        <v>0.5</v>
      </c>
      <c r="G274" s="22">
        <f t="shared" si="29"/>
        <v>6507.895699</v>
      </c>
      <c r="H274" s="8"/>
      <c r="I274" s="9">
        <f t="shared" si="2"/>
        <v>39</v>
      </c>
      <c r="J274" s="8"/>
      <c r="K274" s="27"/>
      <c r="L274" s="9">
        <f t="shared" si="4"/>
        <v>42477.31967</v>
      </c>
      <c r="M274" s="27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28"/>
      <c r="B275" s="19">
        <v>41913.0</v>
      </c>
      <c r="C275" s="20">
        <v>40.0</v>
      </c>
      <c r="D275" s="26">
        <v>274.0</v>
      </c>
      <c r="E275" s="9">
        <f>A277/31</f>
        <v>6846.258065</v>
      </c>
      <c r="F275" s="9">
        <f t="shared" si="28"/>
        <v>0.4666666667</v>
      </c>
      <c r="G275" s="22">
        <f t="shared" si="29"/>
        <v>6530.45319</v>
      </c>
      <c r="H275" s="8"/>
      <c r="I275" s="9">
        <f t="shared" si="2"/>
        <v>40</v>
      </c>
      <c r="J275" s="22">
        <f>SUM(G275:G281)</f>
        <v>46186.87964</v>
      </c>
      <c r="K275" s="24">
        <v>46186.87964</v>
      </c>
      <c r="L275" s="9">
        <f t="shared" si="4"/>
        <v>42477.31967</v>
      </c>
      <c r="M275" s="24">
        <v>42477.31967</v>
      </c>
      <c r="N275" s="25">
        <v>11721.44447</v>
      </c>
      <c r="O275" s="25">
        <v>11199.06633</v>
      </c>
      <c r="P275" s="25">
        <v>2919.922923</v>
      </c>
      <c r="Q275" s="25">
        <v>20099.4881</v>
      </c>
      <c r="R275" s="18"/>
      <c r="S275" s="25">
        <v>11362.8316</v>
      </c>
      <c r="T275" s="25">
        <v>10487.12241</v>
      </c>
      <c r="U275" s="25">
        <v>2648.461406</v>
      </c>
      <c r="V275" s="25">
        <v>18478.38932</v>
      </c>
      <c r="W275" s="25">
        <v>358.6128767</v>
      </c>
      <c r="X275" s="25">
        <v>711.9439135</v>
      </c>
      <c r="Y275" s="25">
        <v>271.4615168</v>
      </c>
      <c r="Z275" s="25">
        <v>1621.09878</v>
      </c>
    </row>
    <row r="276">
      <c r="A276" s="13" t="s">
        <v>73</v>
      </c>
      <c r="B276" s="19">
        <v>41914.0</v>
      </c>
      <c r="C276" s="20">
        <v>40.0</v>
      </c>
      <c r="D276" s="26">
        <v>275.0</v>
      </c>
      <c r="E276" s="9">
        <f>A277/31</f>
        <v>6846.258065</v>
      </c>
      <c r="F276" s="9">
        <f t="shared" si="28"/>
        <v>0.4333333333</v>
      </c>
      <c r="G276" s="22">
        <f t="shared" si="29"/>
        <v>6553.010681</v>
      </c>
      <c r="H276" s="8"/>
      <c r="I276" s="9">
        <f t="shared" si="2"/>
        <v>40</v>
      </c>
      <c r="J276" s="8"/>
      <c r="K276" s="27"/>
      <c r="L276" s="9">
        <f t="shared" si="4"/>
        <v>42477.31967</v>
      </c>
      <c r="M276" s="27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20">
        <v>212234.0</v>
      </c>
      <c r="B277" s="19">
        <v>41915.0</v>
      </c>
      <c r="C277" s="20">
        <v>40.0</v>
      </c>
      <c r="D277" s="26">
        <v>276.0</v>
      </c>
      <c r="E277" s="9">
        <f t="shared" ref="E277:E305" si="30">E276</f>
        <v>6846.258065</v>
      </c>
      <c r="F277" s="9">
        <f t="shared" si="28"/>
        <v>0.4</v>
      </c>
      <c r="G277" s="22">
        <f t="shared" si="29"/>
        <v>6575.568172</v>
      </c>
      <c r="H277" s="8"/>
      <c r="I277" s="9">
        <f t="shared" si="2"/>
        <v>40</v>
      </c>
      <c r="J277" s="8"/>
      <c r="K277" s="27"/>
      <c r="L277" s="9">
        <f t="shared" si="4"/>
        <v>42477.31967</v>
      </c>
      <c r="M277" s="27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28"/>
      <c r="B278" s="19">
        <v>41916.0</v>
      </c>
      <c r="C278" s="20">
        <v>40.0</v>
      </c>
      <c r="D278" s="26">
        <v>277.0</v>
      </c>
      <c r="E278" s="9">
        <f t="shared" si="30"/>
        <v>6846.258065</v>
      </c>
      <c r="F278" s="9">
        <f t="shared" si="28"/>
        <v>0.3666666667</v>
      </c>
      <c r="G278" s="22">
        <f t="shared" si="29"/>
        <v>6598.125663</v>
      </c>
      <c r="H278" s="8"/>
      <c r="I278" s="9">
        <f t="shared" si="2"/>
        <v>40</v>
      </c>
      <c r="J278" s="8"/>
      <c r="K278" s="27"/>
      <c r="L278" s="9">
        <f t="shared" si="4"/>
        <v>42477.31967</v>
      </c>
      <c r="M278" s="27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28"/>
      <c r="B279" s="19">
        <v>41917.0</v>
      </c>
      <c r="C279" s="20">
        <v>40.0</v>
      </c>
      <c r="D279" s="26">
        <v>278.0</v>
      </c>
      <c r="E279" s="9">
        <f t="shared" si="30"/>
        <v>6846.258065</v>
      </c>
      <c r="F279" s="9">
        <f t="shared" si="28"/>
        <v>0.3333333333</v>
      </c>
      <c r="G279" s="22">
        <f t="shared" si="29"/>
        <v>6620.683154</v>
      </c>
      <c r="H279" s="8"/>
      <c r="I279" s="9">
        <f t="shared" si="2"/>
        <v>40</v>
      </c>
      <c r="J279" s="8"/>
      <c r="K279" s="27"/>
      <c r="L279" s="9">
        <f t="shared" si="4"/>
        <v>42477.31967</v>
      </c>
      <c r="M279" s="27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28"/>
      <c r="B280" s="19">
        <v>41918.0</v>
      </c>
      <c r="C280" s="20">
        <v>40.0</v>
      </c>
      <c r="D280" s="26">
        <v>279.0</v>
      </c>
      <c r="E280" s="9">
        <f t="shared" si="30"/>
        <v>6846.258065</v>
      </c>
      <c r="F280" s="9">
        <f t="shared" si="28"/>
        <v>0.3</v>
      </c>
      <c r="G280" s="22">
        <f t="shared" si="29"/>
        <v>6643.240645</v>
      </c>
      <c r="H280" s="8"/>
      <c r="I280" s="9">
        <f t="shared" si="2"/>
        <v>40</v>
      </c>
      <c r="J280" s="8"/>
      <c r="K280" s="27"/>
      <c r="L280" s="9">
        <f t="shared" si="4"/>
        <v>42477.31967</v>
      </c>
      <c r="M280" s="27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28"/>
      <c r="B281" s="19">
        <v>41919.0</v>
      </c>
      <c r="C281" s="20">
        <v>40.0</v>
      </c>
      <c r="D281" s="26">
        <v>280.0</v>
      </c>
      <c r="E281" s="9">
        <f t="shared" si="30"/>
        <v>6846.258065</v>
      </c>
      <c r="F281" s="9">
        <f t="shared" si="28"/>
        <v>0.2666666667</v>
      </c>
      <c r="G281" s="22">
        <f t="shared" si="29"/>
        <v>6665.798136</v>
      </c>
      <c r="H281" s="8"/>
      <c r="I281" s="9">
        <f t="shared" si="2"/>
        <v>40</v>
      </c>
      <c r="J281" s="8"/>
      <c r="K281" s="27"/>
      <c r="L281" s="9">
        <f t="shared" si="4"/>
        <v>42477.31967</v>
      </c>
      <c r="M281" s="27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28"/>
      <c r="B282" s="19">
        <v>41920.0</v>
      </c>
      <c r="C282" s="20">
        <v>41.0</v>
      </c>
      <c r="D282" s="26">
        <v>281.0</v>
      </c>
      <c r="E282" s="9">
        <f t="shared" si="30"/>
        <v>6846.258065</v>
      </c>
      <c r="F282" s="9">
        <f t="shared" si="28"/>
        <v>0.2333333333</v>
      </c>
      <c r="G282" s="22">
        <f t="shared" si="29"/>
        <v>6688.355627</v>
      </c>
      <c r="H282" s="8"/>
      <c r="I282" s="9">
        <f t="shared" si="2"/>
        <v>41</v>
      </c>
      <c r="J282" s="22">
        <f>SUM(G282:G288)</f>
        <v>47292.1967</v>
      </c>
      <c r="K282" s="24">
        <v>47292.1967</v>
      </c>
      <c r="L282" s="9">
        <f t="shared" si="4"/>
        <v>42477.31967</v>
      </c>
      <c r="M282" s="24">
        <v>42477.31967</v>
      </c>
      <c r="N282" s="25">
        <v>12663.82275</v>
      </c>
      <c r="O282" s="25">
        <v>11139.20733</v>
      </c>
      <c r="P282" s="25">
        <v>2733.138184</v>
      </c>
      <c r="Q282" s="25">
        <v>21367.17412</v>
      </c>
      <c r="R282" s="18"/>
      <c r="S282" s="25">
        <v>11342.65018</v>
      </c>
      <c r="T282" s="25">
        <v>10324.07296</v>
      </c>
      <c r="U282" s="25">
        <v>2539.214606</v>
      </c>
      <c r="V282" s="25">
        <v>18813.23943</v>
      </c>
      <c r="W282" s="25">
        <v>1321.172569</v>
      </c>
      <c r="X282" s="25">
        <v>815.1343743</v>
      </c>
      <c r="Y282" s="25">
        <v>193.9235785</v>
      </c>
      <c r="Z282" s="25">
        <v>2553.934698</v>
      </c>
    </row>
    <row r="283">
      <c r="A283" s="28"/>
      <c r="B283" s="19">
        <v>41921.0</v>
      </c>
      <c r="C283" s="20">
        <v>41.0</v>
      </c>
      <c r="D283" s="26">
        <v>282.0</v>
      </c>
      <c r="E283" s="9">
        <f t="shared" si="30"/>
        <v>6846.258065</v>
      </c>
      <c r="F283" s="9">
        <f t="shared" si="28"/>
        <v>0.2</v>
      </c>
      <c r="G283" s="22">
        <f t="shared" si="29"/>
        <v>6710.913118</v>
      </c>
      <c r="H283" s="8"/>
      <c r="I283" s="9">
        <f t="shared" si="2"/>
        <v>41</v>
      </c>
      <c r="J283" s="8"/>
      <c r="K283" s="27"/>
      <c r="L283" s="9">
        <f t="shared" si="4"/>
        <v>42477.31967</v>
      </c>
      <c r="M283" s="27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28"/>
      <c r="B284" s="19">
        <v>41922.0</v>
      </c>
      <c r="C284" s="20">
        <v>41.0</v>
      </c>
      <c r="D284" s="26">
        <v>283.0</v>
      </c>
      <c r="E284" s="9">
        <f t="shared" si="30"/>
        <v>6846.258065</v>
      </c>
      <c r="F284" s="9">
        <f t="shared" si="28"/>
        <v>0.1666666667</v>
      </c>
      <c r="G284" s="22">
        <f t="shared" si="29"/>
        <v>6733.470609</v>
      </c>
      <c r="H284" s="8"/>
      <c r="I284" s="9">
        <f t="shared" si="2"/>
        <v>41</v>
      </c>
      <c r="J284" s="8"/>
      <c r="K284" s="27"/>
      <c r="L284" s="9">
        <f t="shared" si="4"/>
        <v>42477.31967</v>
      </c>
      <c r="M284" s="27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28"/>
      <c r="B285" s="19">
        <v>41923.0</v>
      </c>
      <c r="C285" s="20">
        <v>41.0</v>
      </c>
      <c r="D285" s="26">
        <v>284.0</v>
      </c>
      <c r="E285" s="9">
        <f t="shared" si="30"/>
        <v>6846.258065</v>
      </c>
      <c r="F285" s="9">
        <f t="shared" si="28"/>
        <v>0.1333333333</v>
      </c>
      <c r="G285" s="22">
        <f t="shared" si="29"/>
        <v>6756.0281</v>
      </c>
      <c r="H285" s="8"/>
      <c r="I285" s="9">
        <f t="shared" si="2"/>
        <v>41</v>
      </c>
      <c r="J285" s="8"/>
      <c r="K285" s="27"/>
      <c r="L285" s="9">
        <f t="shared" si="4"/>
        <v>42477.31967</v>
      </c>
      <c r="M285" s="27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28"/>
      <c r="B286" s="19">
        <v>41924.0</v>
      </c>
      <c r="C286" s="20">
        <v>41.0</v>
      </c>
      <c r="D286" s="26">
        <v>285.0</v>
      </c>
      <c r="E286" s="9">
        <f t="shared" si="30"/>
        <v>6846.258065</v>
      </c>
      <c r="F286" s="9">
        <f t="shared" si="28"/>
        <v>0.1</v>
      </c>
      <c r="G286" s="22">
        <f t="shared" si="29"/>
        <v>6778.585591</v>
      </c>
      <c r="H286" s="8"/>
      <c r="I286" s="9">
        <f t="shared" si="2"/>
        <v>41</v>
      </c>
      <c r="J286" s="8"/>
      <c r="K286" s="27"/>
      <c r="L286" s="9">
        <f t="shared" si="4"/>
        <v>42477.31967</v>
      </c>
      <c r="M286" s="27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28"/>
      <c r="B287" s="19">
        <v>41925.0</v>
      </c>
      <c r="C287" s="20">
        <v>41.0</v>
      </c>
      <c r="D287" s="26">
        <v>286.0</v>
      </c>
      <c r="E287" s="9">
        <f t="shared" si="30"/>
        <v>6846.258065</v>
      </c>
      <c r="F287" s="9">
        <f t="shared" si="28"/>
        <v>0.06666666667</v>
      </c>
      <c r="G287" s="22">
        <f t="shared" si="29"/>
        <v>6801.143082</v>
      </c>
      <c r="H287" s="8"/>
      <c r="I287" s="9">
        <f t="shared" si="2"/>
        <v>41</v>
      </c>
      <c r="J287" s="8"/>
      <c r="K287" s="27"/>
      <c r="L287" s="9">
        <f t="shared" si="4"/>
        <v>42477.31967</v>
      </c>
      <c r="M287" s="27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28"/>
      <c r="B288" s="19">
        <v>41926.0</v>
      </c>
      <c r="C288" s="20">
        <v>41.0</v>
      </c>
      <c r="D288" s="26">
        <v>287.0</v>
      </c>
      <c r="E288" s="9">
        <f t="shared" si="30"/>
        <v>6846.258065</v>
      </c>
      <c r="F288" s="9">
        <f t="shared" si="28"/>
        <v>0.03333333333</v>
      </c>
      <c r="G288" s="22">
        <f t="shared" si="29"/>
        <v>6823.700573</v>
      </c>
      <c r="H288" s="8"/>
      <c r="I288" s="9">
        <f t="shared" si="2"/>
        <v>41</v>
      </c>
      <c r="J288" s="8"/>
      <c r="K288" s="27"/>
      <c r="L288" s="9">
        <f t="shared" si="4"/>
        <v>42477.31967</v>
      </c>
      <c r="M288" s="27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28"/>
      <c r="B289" s="19">
        <v>41927.0</v>
      </c>
      <c r="C289" s="20">
        <v>42.0</v>
      </c>
      <c r="D289" s="26">
        <v>288.0</v>
      </c>
      <c r="E289" s="9">
        <f t="shared" si="30"/>
        <v>6846.258065</v>
      </c>
      <c r="F289" s="9">
        <f t="shared" si="28"/>
        <v>0</v>
      </c>
      <c r="G289" s="22">
        <f t="shared" si="29"/>
        <v>6846.258065</v>
      </c>
      <c r="H289" s="8"/>
      <c r="I289" s="9">
        <f t="shared" si="2"/>
        <v>42</v>
      </c>
      <c r="J289" s="22">
        <f>SUM(G289:G295)</f>
        <v>47976.38002</v>
      </c>
      <c r="K289" s="24">
        <v>47976.38002</v>
      </c>
      <c r="L289" s="9">
        <f t="shared" si="4"/>
        <v>42477.31967</v>
      </c>
      <c r="M289" s="24">
        <v>42477.31967</v>
      </c>
      <c r="N289" s="25">
        <v>12716.6943</v>
      </c>
      <c r="O289" s="25">
        <v>11552.76234</v>
      </c>
      <c r="P289" s="25">
        <v>2777.381995</v>
      </c>
      <c r="Q289" s="25">
        <v>20046.64924</v>
      </c>
      <c r="R289" s="18"/>
      <c r="S289" s="25">
        <v>11832.43641</v>
      </c>
      <c r="T289" s="25">
        <v>9997.567215</v>
      </c>
      <c r="U289" s="25">
        <v>2516.030293</v>
      </c>
      <c r="V289" s="25">
        <v>17884.13692</v>
      </c>
      <c r="W289" s="25">
        <v>884.2578918</v>
      </c>
      <c r="X289" s="25">
        <v>1555.195123</v>
      </c>
      <c r="Y289" s="25">
        <v>261.3517025</v>
      </c>
      <c r="Z289" s="25">
        <v>2162.512315</v>
      </c>
    </row>
    <row r="290">
      <c r="A290" s="13"/>
      <c r="B290" s="19">
        <v>41928.0</v>
      </c>
      <c r="C290" s="20">
        <v>42.0</v>
      </c>
      <c r="D290" s="26">
        <v>289.0</v>
      </c>
      <c r="E290" s="9">
        <f t="shared" si="30"/>
        <v>6846.258065</v>
      </c>
      <c r="F290" s="9">
        <f t="shared" ref="F290:F320" si="31">abs((D290-319)/(319-288))</f>
        <v>0.9677419355</v>
      </c>
      <c r="G290" s="22">
        <f t="shared" ref="G290:G319" si="32">E275*F290+(1-F290)*E306</f>
        <v>6848.761568</v>
      </c>
      <c r="H290" s="8"/>
      <c r="I290" s="9">
        <f t="shared" si="2"/>
        <v>42</v>
      </c>
      <c r="J290" s="8"/>
      <c r="K290" s="27"/>
      <c r="L290" s="9">
        <f t="shared" si="4"/>
        <v>42477.31967</v>
      </c>
      <c r="M290" s="27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3"/>
      <c r="B291" s="19">
        <v>41929.0</v>
      </c>
      <c r="C291" s="20">
        <v>42.0</v>
      </c>
      <c r="D291" s="26">
        <v>290.0</v>
      </c>
      <c r="E291" s="9">
        <f t="shared" si="30"/>
        <v>6846.258065</v>
      </c>
      <c r="F291" s="9">
        <f t="shared" si="31"/>
        <v>0.935483871</v>
      </c>
      <c r="G291" s="22">
        <f t="shared" si="32"/>
        <v>6851.265071</v>
      </c>
      <c r="H291" s="8"/>
      <c r="I291" s="9">
        <f t="shared" si="2"/>
        <v>42</v>
      </c>
      <c r="J291" s="8"/>
      <c r="K291" s="27"/>
      <c r="L291" s="9">
        <f t="shared" si="4"/>
        <v>42477.31967</v>
      </c>
      <c r="M291" s="27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28"/>
      <c r="B292" s="19">
        <v>41930.0</v>
      </c>
      <c r="C292" s="20">
        <v>42.0</v>
      </c>
      <c r="D292" s="26">
        <v>291.0</v>
      </c>
      <c r="E292" s="9">
        <f t="shared" si="30"/>
        <v>6846.258065</v>
      </c>
      <c r="F292" s="9">
        <f t="shared" si="31"/>
        <v>0.9032258065</v>
      </c>
      <c r="G292" s="22">
        <f t="shared" si="32"/>
        <v>6853.768574</v>
      </c>
      <c r="H292" s="8"/>
      <c r="I292" s="9">
        <f t="shared" si="2"/>
        <v>42</v>
      </c>
      <c r="J292" s="8"/>
      <c r="K292" s="27"/>
      <c r="L292" s="9">
        <f t="shared" si="4"/>
        <v>42477.31967</v>
      </c>
      <c r="M292" s="27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28"/>
      <c r="B293" s="19">
        <v>41931.0</v>
      </c>
      <c r="C293" s="20">
        <v>42.0</v>
      </c>
      <c r="D293" s="26">
        <v>292.0</v>
      </c>
      <c r="E293" s="9">
        <f t="shared" si="30"/>
        <v>6846.258065</v>
      </c>
      <c r="F293" s="9">
        <f t="shared" si="31"/>
        <v>0.8709677419</v>
      </c>
      <c r="G293" s="22">
        <f t="shared" si="32"/>
        <v>6856.272078</v>
      </c>
      <c r="H293" s="8"/>
      <c r="I293" s="9">
        <f t="shared" si="2"/>
        <v>42</v>
      </c>
      <c r="J293" s="8"/>
      <c r="K293" s="27"/>
      <c r="L293" s="9">
        <f t="shared" si="4"/>
        <v>42477.31967</v>
      </c>
      <c r="M293" s="27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28"/>
      <c r="B294" s="19">
        <v>41932.0</v>
      </c>
      <c r="C294" s="20">
        <v>42.0</v>
      </c>
      <c r="D294" s="26">
        <v>293.0</v>
      </c>
      <c r="E294" s="9">
        <f t="shared" si="30"/>
        <v>6846.258065</v>
      </c>
      <c r="F294" s="9">
        <f t="shared" si="31"/>
        <v>0.8387096774</v>
      </c>
      <c r="G294" s="22">
        <f t="shared" si="32"/>
        <v>6858.775581</v>
      </c>
      <c r="H294" s="8"/>
      <c r="I294" s="9">
        <f t="shared" si="2"/>
        <v>42</v>
      </c>
      <c r="J294" s="8"/>
      <c r="K294" s="27"/>
      <c r="L294" s="9">
        <f t="shared" si="4"/>
        <v>42477.31967</v>
      </c>
      <c r="M294" s="27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28"/>
      <c r="B295" s="19">
        <v>41933.0</v>
      </c>
      <c r="C295" s="20">
        <v>42.0</v>
      </c>
      <c r="D295" s="26">
        <v>294.0</v>
      </c>
      <c r="E295" s="9">
        <f t="shared" si="30"/>
        <v>6846.258065</v>
      </c>
      <c r="F295" s="9">
        <f t="shared" si="31"/>
        <v>0.8064516129</v>
      </c>
      <c r="G295" s="22">
        <f t="shared" si="32"/>
        <v>6861.279084</v>
      </c>
      <c r="H295" s="8"/>
      <c r="I295" s="9">
        <f t="shared" si="2"/>
        <v>42</v>
      </c>
      <c r="J295" s="8"/>
      <c r="K295" s="27"/>
      <c r="L295" s="9">
        <f t="shared" si="4"/>
        <v>42477.31967</v>
      </c>
      <c r="M295" s="27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28"/>
      <c r="B296" s="19">
        <v>41934.0</v>
      </c>
      <c r="C296" s="20">
        <v>43.0</v>
      </c>
      <c r="D296" s="26">
        <v>295.0</v>
      </c>
      <c r="E296" s="9">
        <f t="shared" si="30"/>
        <v>6846.258065</v>
      </c>
      <c r="F296" s="9">
        <f t="shared" si="31"/>
        <v>0.7741935484</v>
      </c>
      <c r="G296" s="22">
        <f t="shared" si="32"/>
        <v>6863.782588</v>
      </c>
      <c r="H296" s="8"/>
      <c r="I296" s="9">
        <f t="shared" si="2"/>
        <v>43</v>
      </c>
      <c r="J296" s="22">
        <f>SUM(G296:G302)</f>
        <v>48099.05168</v>
      </c>
      <c r="K296" s="24">
        <v>48099.05168</v>
      </c>
      <c r="L296" s="9">
        <f t="shared" si="4"/>
        <v>42477.31967</v>
      </c>
      <c r="M296" s="24">
        <v>42477.31967</v>
      </c>
      <c r="N296" s="25">
        <v>13101.22816</v>
      </c>
      <c r="O296" s="25">
        <v>10854.68577</v>
      </c>
      <c r="P296" s="25">
        <v>2888.984471</v>
      </c>
      <c r="Q296" s="25">
        <v>21887.90232</v>
      </c>
      <c r="R296" s="18"/>
      <c r="S296" s="25">
        <v>11479.53346</v>
      </c>
      <c r="T296" s="25">
        <v>10543.32911</v>
      </c>
      <c r="U296" s="25">
        <v>2508.687383</v>
      </c>
      <c r="V296" s="25">
        <v>19189.84126</v>
      </c>
      <c r="W296" s="25">
        <v>1621.6947</v>
      </c>
      <c r="X296" s="25">
        <v>311.3566506</v>
      </c>
      <c r="Y296" s="25">
        <v>380.2970874</v>
      </c>
      <c r="Z296" s="25">
        <v>2698.061057</v>
      </c>
    </row>
    <row r="297">
      <c r="A297" s="28"/>
      <c r="B297" s="19">
        <v>41935.0</v>
      </c>
      <c r="C297" s="20">
        <v>43.0</v>
      </c>
      <c r="D297" s="26">
        <v>296.0</v>
      </c>
      <c r="E297" s="9">
        <f t="shared" si="30"/>
        <v>6846.258065</v>
      </c>
      <c r="F297" s="9">
        <f t="shared" si="31"/>
        <v>0.7419354839</v>
      </c>
      <c r="G297" s="22">
        <f t="shared" si="32"/>
        <v>6866.286091</v>
      </c>
      <c r="H297" s="8"/>
      <c r="I297" s="9">
        <f t="shared" si="2"/>
        <v>43</v>
      </c>
      <c r="J297" s="8"/>
      <c r="K297" s="27"/>
      <c r="L297" s="9">
        <f t="shared" si="4"/>
        <v>42477.31967</v>
      </c>
      <c r="M297" s="27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28"/>
      <c r="B298" s="19">
        <v>41936.0</v>
      </c>
      <c r="C298" s="20">
        <v>43.0</v>
      </c>
      <c r="D298" s="26">
        <v>297.0</v>
      </c>
      <c r="E298" s="9">
        <f t="shared" si="30"/>
        <v>6846.258065</v>
      </c>
      <c r="F298" s="9">
        <f t="shared" si="31"/>
        <v>0.7096774194</v>
      </c>
      <c r="G298" s="22">
        <f t="shared" si="32"/>
        <v>6868.789594</v>
      </c>
      <c r="H298" s="8"/>
      <c r="I298" s="9">
        <f t="shared" si="2"/>
        <v>43</v>
      </c>
      <c r="J298" s="8"/>
      <c r="K298" s="27"/>
      <c r="L298" s="9">
        <f t="shared" si="4"/>
        <v>42477.31967</v>
      </c>
      <c r="M298" s="27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28"/>
      <c r="B299" s="19">
        <v>41937.0</v>
      </c>
      <c r="C299" s="20">
        <v>43.0</v>
      </c>
      <c r="D299" s="26">
        <v>298.0</v>
      </c>
      <c r="E299" s="9">
        <f t="shared" si="30"/>
        <v>6846.258065</v>
      </c>
      <c r="F299" s="9">
        <f t="shared" si="31"/>
        <v>0.6774193548</v>
      </c>
      <c r="G299" s="22">
        <f t="shared" si="32"/>
        <v>6871.293097</v>
      </c>
      <c r="H299" s="8"/>
      <c r="I299" s="9">
        <f t="shared" si="2"/>
        <v>43</v>
      </c>
      <c r="J299" s="8"/>
      <c r="K299" s="27"/>
      <c r="L299" s="9">
        <f t="shared" si="4"/>
        <v>42477.31967</v>
      </c>
      <c r="M299" s="27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28"/>
      <c r="B300" s="19">
        <v>41938.0</v>
      </c>
      <c r="C300" s="20">
        <v>43.0</v>
      </c>
      <c r="D300" s="26">
        <v>299.0</v>
      </c>
      <c r="E300" s="9">
        <f t="shared" si="30"/>
        <v>6846.258065</v>
      </c>
      <c r="F300" s="9">
        <f t="shared" si="31"/>
        <v>0.6451612903</v>
      </c>
      <c r="G300" s="22">
        <f t="shared" si="32"/>
        <v>6873.796601</v>
      </c>
      <c r="H300" s="8"/>
      <c r="I300" s="9">
        <f t="shared" si="2"/>
        <v>43</v>
      </c>
      <c r="J300" s="8"/>
      <c r="K300" s="27"/>
      <c r="L300" s="9">
        <f t="shared" si="4"/>
        <v>42477.31967</v>
      </c>
      <c r="M300" s="27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28"/>
      <c r="B301" s="19">
        <v>41939.0</v>
      </c>
      <c r="C301" s="20">
        <v>43.0</v>
      </c>
      <c r="D301" s="26">
        <v>300.0</v>
      </c>
      <c r="E301" s="9">
        <f t="shared" si="30"/>
        <v>6846.258065</v>
      </c>
      <c r="F301" s="9">
        <f t="shared" si="31"/>
        <v>0.6129032258</v>
      </c>
      <c r="G301" s="22">
        <f t="shared" si="32"/>
        <v>6876.300104</v>
      </c>
      <c r="H301" s="8"/>
      <c r="I301" s="9">
        <f t="shared" si="2"/>
        <v>43</v>
      </c>
      <c r="J301" s="8"/>
      <c r="K301" s="27"/>
      <c r="L301" s="9">
        <f t="shared" si="4"/>
        <v>42477.31967</v>
      </c>
      <c r="M301" s="27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28"/>
      <c r="B302" s="19">
        <v>41940.0</v>
      </c>
      <c r="C302" s="20">
        <v>43.0</v>
      </c>
      <c r="D302" s="26">
        <v>301.0</v>
      </c>
      <c r="E302" s="9">
        <f t="shared" si="30"/>
        <v>6846.258065</v>
      </c>
      <c r="F302" s="9">
        <f t="shared" si="31"/>
        <v>0.5806451613</v>
      </c>
      <c r="G302" s="22">
        <f t="shared" si="32"/>
        <v>6878.803607</v>
      </c>
      <c r="H302" s="8"/>
      <c r="I302" s="9">
        <f t="shared" si="2"/>
        <v>43</v>
      </c>
      <c r="J302" s="8"/>
      <c r="K302" s="27"/>
      <c r="L302" s="9">
        <f t="shared" si="4"/>
        <v>42477.31967</v>
      </c>
      <c r="M302" s="27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28"/>
      <c r="B303" s="19">
        <v>41941.0</v>
      </c>
      <c r="C303" s="20">
        <v>44.0</v>
      </c>
      <c r="D303" s="26">
        <v>302.0</v>
      </c>
      <c r="E303" s="9">
        <f t="shared" si="30"/>
        <v>6846.258065</v>
      </c>
      <c r="F303" s="9">
        <f t="shared" si="31"/>
        <v>0.5483870968</v>
      </c>
      <c r="G303" s="22">
        <f t="shared" si="32"/>
        <v>6881.307111</v>
      </c>
      <c r="H303" s="8"/>
      <c r="I303" s="9">
        <f t="shared" si="2"/>
        <v>44</v>
      </c>
      <c r="J303" s="22">
        <f>SUM(G303:G309)</f>
        <v>48221.72334</v>
      </c>
      <c r="K303" s="24">
        <v>48221.72334</v>
      </c>
      <c r="L303" s="9">
        <f t="shared" si="4"/>
        <v>42477.31967</v>
      </c>
      <c r="M303" s="24">
        <v>42477.31967</v>
      </c>
      <c r="N303" s="25">
        <v>12802.6503</v>
      </c>
      <c r="O303" s="25">
        <v>11004.24825</v>
      </c>
      <c r="P303" s="25">
        <v>2984.058289</v>
      </c>
      <c r="Q303" s="25">
        <v>20411.17021</v>
      </c>
      <c r="R303" s="18"/>
      <c r="S303" s="25">
        <v>11350.54919</v>
      </c>
      <c r="T303" s="25">
        <v>9922.602762</v>
      </c>
      <c r="U303" s="25">
        <v>2486.266338</v>
      </c>
      <c r="V303" s="25">
        <v>17609.68824</v>
      </c>
      <c r="W303" s="25">
        <v>1452.101109</v>
      </c>
      <c r="X303" s="25">
        <v>1081.645484</v>
      </c>
      <c r="Y303" s="25">
        <v>497.7919507</v>
      </c>
      <c r="Z303" s="25">
        <v>2801.481972</v>
      </c>
    </row>
    <row r="304">
      <c r="A304" s="28"/>
      <c r="B304" s="19">
        <v>41942.0</v>
      </c>
      <c r="C304" s="20">
        <v>44.0</v>
      </c>
      <c r="D304" s="26">
        <v>303.0</v>
      </c>
      <c r="E304" s="9">
        <f t="shared" si="30"/>
        <v>6846.258065</v>
      </c>
      <c r="F304" s="9">
        <f t="shared" si="31"/>
        <v>0.5161290323</v>
      </c>
      <c r="G304" s="22">
        <f t="shared" si="32"/>
        <v>6883.810614</v>
      </c>
      <c r="H304" s="8"/>
      <c r="I304" s="9">
        <f t="shared" si="2"/>
        <v>44</v>
      </c>
      <c r="J304" s="8"/>
      <c r="K304" s="27"/>
      <c r="L304" s="9">
        <f t="shared" si="4"/>
        <v>42477.31967</v>
      </c>
      <c r="M304" s="27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28"/>
      <c r="B305" s="19">
        <v>41943.0</v>
      </c>
      <c r="C305" s="20">
        <v>44.0</v>
      </c>
      <c r="D305" s="26">
        <v>304.0</v>
      </c>
      <c r="E305" s="9">
        <f t="shared" si="30"/>
        <v>6846.258065</v>
      </c>
      <c r="F305" s="9">
        <f t="shared" si="31"/>
        <v>0.4838709677</v>
      </c>
      <c r="G305" s="22">
        <f t="shared" si="32"/>
        <v>6886.314117</v>
      </c>
      <c r="H305" s="8"/>
      <c r="I305" s="9">
        <f t="shared" si="2"/>
        <v>44</v>
      </c>
      <c r="J305" s="8"/>
      <c r="K305" s="27"/>
      <c r="L305" s="9">
        <f t="shared" si="4"/>
        <v>42477.31967</v>
      </c>
      <c r="M305" s="27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28"/>
      <c r="B306" s="19">
        <v>41944.0</v>
      </c>
      <c r="C306" s="20">
        <v>44.0</v>
      </c>
      <c r="D306" s="26">
        <v>305.0</v>
      </c>
      <c r="E306" s="9">
        <f>A308/30</f>
        <v>6923.866667</v>
      </c>
      <c r="F306" s="9">
        <f t="shared" si="31"/>
        <v>0.4516129032</v>
      </c>
      <c r="G306" s="22">
        <f t="shared" si="32"/>
        <v>6888.817621</v>
      </c>
      <c r="H306" s="8"/>
      <c r="I306" s="9">
        <f t="shared" si="2"/>
        <v>44</v>
      </c>
      <c r="J306" s="8"/>
      <c r="K306" s="27"/>
      <c r="L306" s="9">
        <f t="shared" si="4"/>
        <v>42477.31967</v>
      </c>
      <c r="M306" s="27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3" t="s">
        <v>74</v>
      </c>
      <c r="B307" s="19">
        <v>41945.0</v>
      </c>
      <c r="C307" s="20">
        <v>44.0</v>
      </c>
      <c r="D307" s="26">
        <v>306.0</v>
      </c>
      <c r="E307" s="9">
        <f>A308/30</f>
        <v>6923.866667</v>
      </c>
      <c r="F307" s="9">
        <f t="shared" si="31"/>
        <v>0.4193548387</v>
      </c>
      <c r="G307" s="22">
        <f t="shared" si="32"/>
        <v>6891.321124</v>
      </c>
      <c r="H307" s="8"/>
      <c r="I307" s="9">
        <f t="shared" si="2"/>
        <v>44</v>
      </c>
      <c r="J307" s="8"/>
      <c r="K307" s="27"/>
      <c r="L307" s="9">
        <f t="shared" si="4"/>
        <v>42477.31967</v>
      </c>
      <c r="M307" s="27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20">
        <v>207716.0</v>
      </c>
      <c r="B308" s="19">
        <v>41946.0</v>
      </c>
      <c r="C308" s="20">
        <v>44.0</v>
      </c>
      <c r="D308" s="26">
        <v>307.0</v>
      </c>
      <c r="E308" s="9">
        <f t="shared" ref="E308:E335" si="33">E307</f>
        <v>6923.866667</v>
      </c>
      <c r="F308" s="9">
        <f t="shared" si="31"/>
        <v>0.3870967742</v>
      </c>
      <c r="G308" s="22">
        <f t="shared" si="32"/>
        <v>6893.824627</v>
      </c>
      <c r="H308" s="8"/>
      <c r="I308" s="9">
        <f t="shared" si="2"/>
        <v>44</v>
      </c>
      <c r="J308" s="8"/>
      <c r="K308" s="27"/>
      <c r="L308" s="9">
        <f t="shared" si="4"/>
        <v>42477.31967</v>
      </c>
      <c r="M308" s="27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28"/>
      <c r="B309" s="19">
        <v>41947.0</v>
      </c>
      <c r="C309" s="20">
        <v>44.0</v>
      </c>
      <c r="D309" s="26">
        <v>308.0</v>
      </c>
      <c r="E309" s="9">
        <f t="shared" si="33"/>
        <v>6923.866667</v>
      </c>
      <c r="F309" s="9">
        <f t="shared" si="31"/>
        <v>0.3548387097</v>
      </c>
      <c r="G309" s="22">
        <f t="shared" si="32"/>
        <v>6896.32813</v>
      </c>
      <c r="H309" s="8"/>
      <c r="I309" s="9">
        <f t="shared" si="2"/>
        <v>44</v>
      </c>
      <c r="J309" s="8"/>
      <c r="K309" s="27"/>
      <c r="L309" s="9">
        <f t="shared" si="4"/>
        <v>42477.31967</v>
      </c>
      <c r="M309" s="27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28"/>
      <c r="B310" s="19">
        <v>41948.0</v>
      </c>
      <c r="C310" s="20">
        <v>45.0</v>
      </c>
      <c r="D310" s="26">
        <v>309.0</v>
      </c>
      <c r="E310" s="9">
        <f t="shared" si="33"/>
        <v>6923.866667</v>
      </c>
      <c r="F310" s="9">
        <f t="shared" si="31"/>
        <v>0.3225806452</v>
      </c>
      <c r="G310" s="22">
        <f t="shared" si="32"/>
        <v>6898.831634</v>
      </c>
      <c r="H310" s="8"/>
      <c r="I310" s="9">
        <f t="shared" si="2"/>
        <v>45</v>
      </c>
      <c r="J310" s="22">
        <f>SUM(G310:G316)</f>
        <v>48344.39501</v>
      </c>
      <c r="K310" s="24">
        <v>48344.39501</v>
      </c>
      <c r="L310" s="9">
        <f t="shared" si="4"/>
        <v>42477.31967</v>
      </c>
      <c r="M310" s="24">
        <v>42477.31967</v>
      </c>
      <c r="N310" s="25">
        <v>13308.71958</v>
      </c>
      <c r="O310" s="25">
        <v>11077.54749</v>
      </c>
      <c r="P310" s="25">
        <v>3056.71768</v>
      </c>
      <c r="Q310" s="25">
        <v>20654.58505</v>
      </c>
      <c r="R310" s="18"/>
      <c r="S310" s="25">
        <v>11034.32388</v>
      </c>
      <c r="T310" s="25">
        <v>10428.93959</v>
      </c>
      <c r="U310" s="25">
        <v>2474.29663</v>
      </c>
      <c r="V310" s="25">
        <v>19190.66222</v>
      </c>
      <c r="W310" s="25">
        <v>2274.3957</v>
      </c>
      <c r="X310" s="25">
        <v>648.6078941</v>
      </c>
      <c r="Y310" s="25">
        <v>582.4210497</v>
      </c>
      <c r="Z310" s="25">
        <v>1463.922832</v>
      </c>
    </row>
    <row r="311">
      <c r="A311" s="28"/>
      <c r="B311" s="19">
        <v>41949.0</v>
      </c>
      <c r="C311" s="20">
        <v>45.0</v>
      </c>
      <c r="D311" s="26">
        <v>310.0</v>
      </c>
      <c r="E311" s="9">
        <f t="shared" si="33"/>
        <v>6923.866667</v>
      </c>
      <c r="F311" s="9">
        <f t="shared" si="31"/>
        <v>0.2903225806</v>
      </c>
      <c r="G311" s="22">
        <f t="shared" si="32"/>
        <v>6901.335137</v>
      </c>
      <c r="H311" s="8"/>
      <c r="I311" s="9">
        <f t="shared" si="2"/>
        <v>45</v>
      </c>
      <c r="J311" s="8"/>
      <c r="K311" s="27"/>
      <c r="L311" s="9">
        <f t="shared" si="4"/>
        <v>42477.31967</v>
      </c>
      <c r="M311" s="27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28"/>
      <c r="B312" s="19">
        <v>41950.0</v>
      </c>
      <c r="C312" s="20">
        <v>45.0</v>
      </c>
      <c r="D312" s="26">
        <v>311.0</v>
      </c>
      <c r="E312" s="9">
        <f t="shared" si="33"/>
        <v>6923.866667</v>
      </c>
      <c r="F312" s="9">
        <f t="shared" si="31"/>
        <v>0.2580645161</v>
      </c>
      <c r="G312" s="22">
        <f t="shared" si="32"/>
        <v>6903.83864</v>
      </c>
      <c r="H312" s="8"/>
      <c r="I312" s="9">
        <f t="shared" si="2"/>
        <v>45</v>
      </c>
      <c r="J312" s="8"/>
      <c r="K312" s="27"/>
      <c r="L312" s="9">
        <f t="shared" si="4"/>
        <v>42477.31967</v>
      </c>
      <c r="M312" s="27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28"/>
      <c r="B313" s="19">
        <v>41951.0</v>
      </c>
      <c r="C313" s="20">
        <v>45.0</v>
      </c>
      <c r="D313" s="26">
        <v>312.0</v>
      </c>
      <c r="E313" s="9">
        <f t="shared" si="33"/>
        <v>6923.866667</v>
      </c>
      <c r="F313" s="9">
        <f t="shared" si="31"/>
        <v>0.2258064516</v>
      </c>
      <c r="G313" s="22">
        <f t="shared" si="32"/>
        <v>6906.342144</v>
      </c>
      <c r="H313" s="8"/>
      <c r="I313" s="9">
        <f t="shared" si="2"/>
        <v>45</v>
      </c>
      <c r="J313" s="8"/>
      <c r="K313" s="27"/>
      <c r="L313" s="9">
        <f t="shared" si="4"/>
        <v>42477.31967</v>
      </c>
      <c r="M313" s="27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28"/>
      <c r="B314" s="19">
        <v>41952.0</v>
      </c>
      <c r="C314" s="20">
        <v>45.0</v>
      </c>
      <c r="D314" s="26">
        <v>313.0</v>
      </c>
      <c r="E314" s="9">
        <f t="shared" si="33"/>
        <v>6923.866667</v>
      </c>
      <c r="F314" s="9">
        <f t="shared" si="31"/>
        <v>0.1935483871</v>
      </c>
      <c r="G314" s="22">
        <f t="shared" si="32"/>
        <v>6908.845647</v>
      </c>
      <c r="H314" s="8"/>
      <c r="I314" s="9">
        <f t="shared" si="2"/>
        <v>45</v>
      </c>
      <c r="J314" s="8"/>
      <c r="K314" s="27"/>
      <c r="L314" s="9">
        <f t="shared" si="4"/>
        <v>42477.31967</v>
      </c>
      <c r="M314" s="27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28"/>
      <c r="B315" s="19">
        <v>41953.0</v>
      </c>
      <c r="C315" s="20">
        <v>45.0</v>
      </c>
      <c r="D315" s="26">
        <v>314.0</v>
      </c>
      <c r="E315" s="9">
        <f t="shared" si="33"/>
        <v>6923.866667</v>
      </c>
      <c r="F315" s="9">
        <f t="shared" si="31"/>
        <v>0.1612903226</v>
      </c>
      <c r="G315" s="22">
        <f t="shared" si="32"/>
        <v>6911.34915</v>
      </c>
      <c r="H315" s="8"/>
      <c r="I315" s="9">
        <f t="shared" si="2"/>
        <v>45</v>
      </c>
      <c r="J315" s="8"/>
      <c r="K315" s="27"/>
      <c r="L315" s="9">
        <f t="shared" si="4"/>
        <v>42477.31967</v>
      </c>
      <c r="M315" s="27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28"/>
      <c r="B316" s="19">
        <v>41954.0</v>
      </c>
      <c r="C316" s="20">
        <v>45.0</v>
      </c>
      <c r="D316" s="26">
        <v>315.0</v>
      </c>
      <c r="E316" s="9">
        <f t="shared" si="33"/>
        <v>6923.866667</v>
      </c>
      <c r="F316" s="9">
        <f t="shared" si="31"/>
        <v>0.1290322581</v>
      </c>
      <c r="G316" s="22">
        <f t="shared" si="32"/>
        <v>6913.852653</v>
      </c>
      <c r="H316" s="8"/>
      <c r="I316" s="9">
        <f t="shared" si="2"/>
        <v>45</v>
      </c>
      <c r="J316" s="8"/>
      <c r="K316" s="27"/>
      <c r="L316" s="9">
        <f t="shared" si="4"/>
        <v>42477.31967</v>
      </c>
      <c r="M316" s="27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28"/>
      <c r="B317" s="19">
        <v>41955.0</v>
      </c>
      <c r="C317" s="20">
        <v>46.0</v>
      </c>
      <c r="D317" s="26">
        <v>316.0</v>
      </c>
      <c r="E317" s="9">
        <f t="shared" si="33"/>
        <v>6923.866667</v>
      </c>
      <c r="F317" s="9">
        <f t="shared" si="31"/>
        <v>0.09677419355</v>
      </c>
      <c r="G317" s="22">
        <f t="shared" si="32"/>
        <v>6916.356157</v>
      </c>
      <c r="H317" s="8"/>
      <c r="I317" s="9">
        <f t="shared" si="2"/>
        <v>46</v>
      </c>
      <c r="J317" s="22">
        <f>SUM(G317:G323)</f>
        <v>48348.38844</v>
      </c>
      <c r="K317" s="24">
        <v>48348.38844</v>
      </c>
      <c r="L317" s="9">
        <f t="shared" si="4"/>
        <v>42477.31967</v>
      </c>
      <c r="M317" s="24">
        <v>42477.31967</v>
      </c>
      <c r="N317" s="25">
        <v>12723.86708</v>
      </c>
      <c r="O317" s="25">
        <v>10906.561</v>
      </c>
      <c r="P317" s="25">
        <v>3053.654008</v>
      </c>
      <c r="Q317" s="25">
        <v>20693.61887</v>
      </c>
      <c r="R317" s="18"/>
      <c r="S317" s="25">
        <v>11725.06538</v>
      </c>
      <c r="T317" s="25">
        <v>10125.64226</v>
      </c>
      <c r="U317" s="25">
        <v>2661.051697</v>
      </c>
      <c r="V317" s="25">
        <v>18271.83921</v>
      </c>
      <c r="W317" s="25">
        <v>998.8017008</v>
      </c>
      <c r="X317" s="25">
        <v>780.91874</v>
      </c>
      <c r="Y317" s="25">
        <v>392.6023106</v>
      </c>
      <c r="Z317" s="25">
        <v>2421.779662</v>
      </c>
    </row>
    <row r="318">
      <c r="A318" s="28"/>
      <c r="B318" s="19">
        <v>41956.0</v>
      </c>
      <c r="C318" s="20">
        <v>46.0</v>
      </c>
      <c r="D318" s="26">
        <v>317.0</v>
      </c>
      <c r="E318" s="9">
        <f t="shared" si="33"/>
        <v>6923.866667</v>
      </c>
      <c r="F318" s="9">
        <f t="shared" si="31"/>
        <v>0.06451612903</v>
      </c>
      <c r="G318" s="22">
        <f t="shared" si="32"/>
        <v>6918.85966</v>
      </c>
      <c r="H318" s="8"/>
      <c r="I318" s="9">
        <f t="shared" si="2"/>
        <v>46</v>
      </c>
      <c r="J318" s="8"/>
      <c r="K318" s="27"/>
      <c r="L318" s="9">
        <f t="shared" si="4"/>
        <v>42477.31967</v>
      </c>
      <c r="M318" s="27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28"/>
      <c r="B319" s="19">
        <v>41957.0</v>
      </c>
      <c r="C319" s="20">
        <v>46.0</v>
      </c>
      <c r="D319" s="26">
        <v>318.0</v>
      </c>
      <c r="E319" s="9">
        <f t="shared" si="33"/>
        <v>6923.866667</v>
      </c>
      <c r="F319" s="9">
        <f t="shared" si="31"/>
        <v>0.03225806452</v>
      </c>
      <c r="G319" s="22">
        <f t="shared" si="32"/>
        <v>6921.363163</v>
      </c>
      <c r="H319" s="8"/>
      <c r="I319" s="9">
        <f t="shared" si="2"/>
        <v>46</v>
      </c>
      <c r="J319" s="8"/>
      <c r="K319" s="27"/>
      <c r="L319" s="9">
        <f t="shared" si="4"/>
        <v>42477.31967</v>
      </c>
      <c r="M319" s="27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28"/>
      <c r="B320" s="19">
        <v>41958.0</v>
      </c>
      <c r="C320" s="20">
        <v>46.0</v>
      </c>
      <c r="D320" s="26">
        <v>319.0</v>
      </c>
      <c r="E320" s="9">
        <f t="shared" si="33"/>
        <v>6923.866667</v>
      </c>
      <c r="F320" s="9">
        <f t="shared" si="31"/>
        <v>0</v>
      </c>
      <c r="G320" s="22">
        <f>E320</f>
        <v>6923.866667</v>
      </c>
      <c r="H320" s="8"/>
      <c r="I320" s="9">
        <f t="shared" si="2"/>
        <v>46</v>
      </c>
      <c r="J320" s="8"/>
      <c r="K320" s="27"/>
      <c r="L320" s="9">
        <f t="shared" si="4"/>
        <v>42477.31967</v>
      </c>
      <c r="M320" s="27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3"/>
      <c r="B321" s="19">
        <v>41959.0</v>
      </c>
      <c r="C321" s="20">
        <v>46.0</v>
      </c>
      <c r="D321" s="26">
        <v>320.0</v>
      </c>
      <c r="E321" s="9">
        <f t="shared" si="33"/>
        <v>6923.866667</v>
      </c>
      <c r="F321" s="9">
        <f t="shared" ref="F321:F350" si="34">abs((D321-349)/(349-319))</f>
        <v>0.9666666667</v>
      </c>
      <c r="G321" s="22">
        <f t="shared" ref="G321:G350" si="35">E306*F321+(1-F321)*E336</f>
        <v>6906.590466</v>
      </c>
      <c r="H321" s="8"/>
      <c r="I321" s="9">
        <f t="shared" si="2"/>
        <v>46</v>
      </c>
      <c r="J321" s="8"/>
      <c r="K321" s="27"/>
      <c r="L321" s="9">
        <f t="shared" si="4"/>
        <v>42477.31967</v>
      </c>
      <c r="M321" s="27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3"/>
      <c r="B322" s="19">
        <v>41960.0</v>
      </c>
      <c r="C322" s="20">
        <v>46.0</v>
      </c>
      <c r="D322" s="26">
        <v>321.0</v>
      </c>
      <c r="E322" s="9">
        <f t="shared" si="33"/>
        <v>6923.866667</v>
      </c>
      <c r="F322" s="9">
        <f t="shared" si="34"/>
        <v>0.9333333333</v>
      </c>
      <c r="G322" s="22">
        <f t="shared" si="35"/>
        <v>6889.314265</v>
      </c>
      <c r="H322" s="8"/>
      <c r="I322" s="9">
        <f t="shared" si="2"/>
        <v>46</v>
      </c>
      <c r="J322" s="8"/>
      <c r="K322" s="27"/>
      <c r="L322" s="9">
        <f t="shared" si="4"/>
        <v>42477.31967</v>
      </c>
      <c r="M322" s="27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28"/>
      <c r="B323" s="19">
        <v>41961.0</v>
      </c>
      <c r="C323" s="20">
        <v>46.0</v>
      </c>
      <c r="D323" s="26">
        <v>322.0</v>
      </c>
      <c r="E323" s="9">
        <f t="shared" si="33"/>
        <v>6923.866667</v>
      </c>
      <c r="F323" s="9">
        <f t="shared" si="34"/>
        <v>0.9</v>
      </c>
      <c r="G323" s="22">
        <f t="shared" si="35"/>
        <v>6872.038065</v>
      </c>
      <c r="H323" s="8"/>
      <c r="I323" s="9">
        <f t="shared" si="2"/>
        <v>46</v>
      </c>
      <c r="J323" s="8"/>
      <c r="K323" s="27"/>
      <c r="L323" s="9">
        <f t="shared" si="4"/>
        <v>42477.31967</v>
      </c>
      <c r="M323" s="27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28"/>
      <c r="B324" s="19">
        <v>41962.0</v>
      </c>
      <c r="C324" s="20">
        <v>47.0</v>
      </c>
      <c r="D324" s="26">
        <v>323.0</v>
      </c>
      <c r="E324" s="9">
        <f t="shared" si="33"/>
        <v>6923.866667</v>
      </c>
      <c r="F324" s="9">
        <f t="shared" si="34"/>
        <v>0.8666666667</v>
      </c>
      <c r="G324" s="22">
        <f t="shared" si="35"/>
        <v>6854.761864</v>
      </c>
      <c r="H324" s="8"/>
      <c r="I324" s="9">
        <f t="shared" si="2"/>
        <v>47</v>
      </c>
      <c r="J324" s="22">
        <f>SUM(G324:G330)</f>
        <v>47620.53283</v>
      </c>
      <c r="K324" s="24">
        <v>47620.53283</v>
      </c>
      <c r="L324" s="9">
        <f t="shared" si="4"/>
        <v>42477.31967</v>
      </c>
      <c r="M324" s="24">
        <v>42477.31967</v>
      </c>
      <c r="N324" s="25">
        <v>12437.75033</v>
      </c>
      <c r="O324" s="25">
        <v>11068.19797</v>
      </c>
      <c r="P324" s="25">
        <v>2882.493078</v>
      </c>
      <c r="Q324" s="25">
        <v>21621.20784</v>
      </c>
      <c r="R324" s="18"/>
      <c r="S324" s="25">
        <v>11450.33176</v>
      </c>
      <c r="T324" s="25">
        <v>10450.75285</v>
      </c>
      <c r="U324" s="25">
        <v>2523.039105</v>
      </c>
      <c r="V324" s="25">
        <v>18173.11239</v>
      </c>
      <c r="W324" s="25">
        <v>987.4185764</v>
      </c>
      <c r="X324" s="25">
        <v>617.4451166</v>
      </c>
      <c r="Y324" s="25">
        <v>359.4539736</v>
      </c>
      <c r="Z324" s="25">
        <v>3448.095448</v>
      </c>
    </row>
    <row r="325">
      <c r="A325" s="28"/>
      <c r="B325" s="19">
        <v>41963.0</v>
      </c>
      <c r="C325" s="20">
        <v>47.0</v>
      </c>
      <c r="D325" s="26">
        <v>324.0</v>
      </c>
      <c r="E325" s="9">
        <f t="shared" si="33"/>
        <v>6923.866667</v>
      </c>
      <c r="F325" s="9">
        <f t="shared" si="34"/>
        <v>0.8333333333</v>
      </c>
      <c r="G325" s="22">
        <f t="shared" si="35"/>
        <v>6837.485663</v>
      </c>
      <c r="H325" s="8"/>
      <c r="I325" s="9">
        <f t="shared" si="2"/>
        <v>47</v>
      </c>
      <c r="J325" s="8"/>
      <c r="K325" s="27"/>
      <c r="L325" s="9">
        <f t="shared" si="4"/>
        <v>42477.31967</v>
      </c>
      <c r="M325" s="27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28"/>
      <c r="B326" s="19">
        <v>41964.0</v>
      </c>
      <c r="C326" s="20">
        <v>47.0</v>
      </c>
      <c r="D326" s="26">
        <v>325.0</v>
      </c>
      <c r="E326" s="9">
        <f t="shared" si="33"/>
        <v>6923.866667</v>
      </c>
      <c r="F326" s="9">
        <f t="shared" si="34"/>
        <v>0.8</v>
      </c>
      <c r="G326" s="22">
        <f t="shared" si="35"/>
        <v>6820.209462</v>
      </c>
      <c r="H326" s="8"/>
      <c r="I326" s="9">
        <f t="shared" si="2"/>
        <v>47</v>
      </c>
      <c r="J326" s="8"/>
      <c r="K326" s="27"/>
      <c r="L326" s="9">
        <f t="shared" si="4"/>
        <v>42477.31967</v>
      </c>
      <c r="M326" s="27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28"/>
      <c r="B327" s="19">
        <v>41965.0</v>
      </c>
      <c r="C327" s="20">
        <v>47.0</v>
      </c>
      <c r="D327" s="26">
        <v>326.0</v>
      </c>
      <c r="E327" s="9">
        <f t="shared" si="33"/>
        <v>6923.866667</v>
      </c>
      <c r="F327" s="9">
        <f t="shared" si="34"/>
        <v>0.7666666667</v>
      </c>
      <c r="G327" s="22">
        <f t="shared" si="35"/>
        <v>6802.933262</v>
      </c>
      <c r="H327" s="8"/>
      <c r="I327" s="9">
        <f t="shared" si="2"/>
        <v>47</v>
      </c>
      <c r="J327" s="8"/>
      <c r="K327" s="27"/>
      <c r="L327" s="9">
        <f t="shared" si="4"/>
        <v>42477.31967</v>
      </c>
      <c r="M327" s="27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28"/>
      <c r="B328" s="19">
        <v>41966.0</v>
      </c>
      <c r="C328" s="20">
        <v>47.0</v>
      </c>
      <c r="D328" s="26">
        <v>327.0</v>
      </c>
      <c r="E328" s="9">
        <f t="shared" si="33"/>
        <v>6923.866667</v>
      </c>
      <c r="F328" s="9">
        <f t="shared" si="34"/>
        <v>0.7333333333</v>
      </c>
      <c r="G328" s="22">
        <f t="shared" si="35"/>
        <v>6785.657061</v>
      </c>
      <c r="H328" s="8"/>
      <c r="I328" s="9">
        <f t="shared" si="2"/>
        <v>47</v>
      </c>
      <c r="J328" s="8"/>
      <c r="K328" s="27"/>
      <c r="L328" s="9">
        <f t="shared" si="4"/>
        <v>42477.31967</v>
      </c>
      <c r="M328" s="27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28"/>
      <c r="B329" s="19">
        <v>41967.0</v>
      </c>
      <c r="C329" s="20">
        <v>47.0</v>
      </c>
      <c r="D329" s="26">
        <v>328.0</v>
      </c>
      <c r="E329" s="9">
        <f t="shared" si="33"/>
        <v>6923.866667</v>
      </c>
      <c r="F329" s="9">
        <f t="shared" si="34"/>
        <v>0.7</v>
      </c>
      <c r="G329" s="22">
        <f t="shared" si="35"/>
        <v>6768.38086</v>
      </c>
      <c r="H329" s="8"/>
      <c r="I329" s="9">
        <f t="shared" si="2"/>
        <v>47</v>
      </c>
      <c r="J329" s="8"/>
      <c r="K329" s="27"/>
      <c r="L329" s="9">
        <f t="shared" si="4"/>
        <v>42477.31967</v>
      </c>
      <c r="M329" s="27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28"/>
      <c r="B330" s="19">
        <v>41968.0</v>
      </c>
      <c r="C330" s="20">
        <v>47.0</v>
      </c>
      <c r="D330" s="26">
        <v>329.0</v>
      </c>
      <c r="E330" s="9">
        <f t="shared" si="33"/>
        <v>6923.866667</v>
      </c>
      <c r="F330" s="9">
        <f t="shared" si="34"/>
        <v>0.6666666667</v>
      </c>
      <c r="G330" s="22">
        <f t="shared" si="35"/>
        <v>6751.104659</v>
      </c>
      <c r="H330" s="8"/>
      <c r="I330" s="9">
        <f t="shared" si="2"/>
        <v>47</v>
      </c>
      <c r="J330" s="8"/>
      <c r="K330" s="27"/>
      <c r="L330" s="9">
        <f t="shared" si="4"/>
        <v>42477.31967</v>
      </c>
      <c r="M330" s="27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28"/>
      <c r="B331" s="19">
        <v>41969.0</v>
      </c>
      <c r="C331" s="20">
        <v>48.0</v>
      </c>
      <c r="D331" s="26">
        <v>330.0</v>
      </c>
      <c r="E331" s="9">
        <f t="shared" si="33"/>
        <v>6923.866667</v>
      </c>
      <c r="F331" s="9">
        <f t="shared" si="34"/>
        <v>0.6333333333</v>
      </c>
      <c r="G331" s="22">
        <f t="shared" si="35"/>
        <v>6733.828459</v>
      </c>
      <c r="H331" s="8"/>
      <c r="I331" s="9">
        <f t="shared" si="2"/>
        <v>48</v>
      </c>
      <c r="J331" s="22">
        <f>SUM(G331:G337)</f>
        <v>46773.999</v>
      </c>
      <c r="K331" s="24">
        <v>46773.999</v>
      </c>
      <c r="L331" s="9">
        <f t="shared" si="4"/>
        <v>42477.31967</v>
      </c>
      <c r="M331" s="24">
        <v>42477.31967</v>
      </c>
      <c r="N331" s="25">
        <v>12794.86455</v>
      </c>
      <c r="O331" s="25">
        <v>11340.78894</v>
      </c>
      <c r="P331" s="25">
        <v>2771.064917</v>
      </c>
      <c r="Q331" s="25">
        <v>20922.61351</v>
      </c>
      <c r="R331" s="18"/>
      <c r="S331" s="25">
        <v>11431.05282</v>
      </c>
      <c r="T331" s="25">
        <v>10429.89535</v>
      </c>
      <c r="U331" s="25">
        <v>2576.17988</v>
      </c>
      <c r="V331" s="25">
        <v>19410.55544</v>
      </c>
      <c r="W331" s="25">
        <v>1363.811735</v>
      </c>
      <c r="X331" s="25">
        <v>910.8935966</v>
      </c>
      <c r="Y331" s="25">
        <v>194.8850375</v>
      </c>
      <c r="Z331" s="25">
        <v>1512.058066</v>
      </c>
    </row>
    <row r="332">
      <c r="A332" s="28"/>
      <c r="B332" s="19">
        <v>41970.0</v>
      </c>
      <c r="C332" s="20">
        <v>48.0</v>
      </c>
      <c r="D332" s="26">
        <v>331.0</v>
      </c>
      <c r="E332" s="9">
        <f t="shared" si="33"/>
        <v>6923.866667</v>
      </c>
      <c r="F332" s="9">
        <f t="shared" si="34"/>
        <v>0.6</v>
      </c>
      <c r="G332" s="22">
        <f t="shared" si="35"/>
        <v>6716.552258</v>
      </c>
      <c r="H332" s="8"/>
      <c r="I332" s="9">
        <f t="shared" si="2"/>
        <v>48</v>
      </c>
      <c r="J332" s="8"/>
      <c r="K332" s="27"/>
      <c r="L332" s="9">
        <f t="shared" si="4"/>
        <v>42477.31967</v>
      </c>
      <c r="M332" s="27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28"/>
      <c r="B333" s="19">
        <v>41971.0</v>
      </c>
      <c r="C333" s="20">
        <v>48.0</v>
      </c>
      <c r="D333" s="26">
        <v>332.0</v>
      </c>
      <c r="E333" s="9">
        <f t="shared" si="33"/>
        <v>6923.866667</v>
      </c>
      <c r="F333" s="9">
        <f t="shared" si="34"/>
        <v>0.5666666667</v>
      </c>
      <c r="G333" s="22">
        <f t="shared" si="35"/>
        <v>6699.276057</v>
      </c>
      <c r="H333" s="8"/>
      <c r="I333" s="9">
        <f t="shared" si="2"/>
        <v>48</v>
      </c>
      <c r="J333" s="8"/>
      <c r="K333" s="27"/>
      <c r="L333" s="9">
        <f t="shared" si="4"/>
        <v>42477.31967</v>
      </c>
      <c r="M333" s="27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28"/>
      <c r="B334" s="19">
        <v>41972.0</v>
      </c>
      <c r="C334" s="20">
        <v>48.0</v>
      </c>
      <c r="D334" s="26">
        <v>333.0</v>
      </c>
      <c r="E334" s="9">
        <f t="shared" si="33"/>
        <v>6923.866667</v>
      </c>
      <c r="F334" s="9">
        <f t="shared" si="34"/>
        <v>0.5333333333</v>
      </c>
      <c r="G334" s="22">
        <f t="shared" si="35"/>
        <v>6681.999857</v>
      </c>
      <c r="H334" s="8"/>
      <c r="I334" s="9">
        <f t="shared" si="2"/>
        <v>48</v>
      </c>
      <c r="J334" s="8"/>
      <c r="K334" s="27"/>
      <c r="L334" s="9">
        <f t="shared" si="4"/>
        <v>42477.31967</v>
      </c>
      <c r="M334" s="27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28"/>
      <c r="B335" s="19">
        <v>41973.0</v>
      </c>
      <c r="C335" s="20">
        <v>48.0</v>
      </c>
      <c r="D335" s="26">
        <v>334.0</v>
      </c>
      <c r="E335" s="9">
        <f t="shared" si="33"/>
        <v>6923.866667</v>
      </c>
      <c r="F335" s="9">
        <f t="shared" si="34"/>
        <v>0.5</v>
      </c>
      <c r="G335" s="22">
        <f t="shared" si="35"/>
        <v>6664.723656</v>
      </c>
      <c r="H335" s="8"/>
      <c r="I335" s="9">
        <f t="shared" si="2"/>
        <v>48</v>
      </c>
      <c r="J335" s="8"/>
      <c r="K335" s="27"/>
      <c r="L335" s="9">
        <f t="shared" si="4"/>
        <v>42477.31967</v>
      </c>
      <c r="M335" s="27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28"/>
      <c r="B336" s="19">
        <v>41974.0</v>
      </c>
      <c r="C336" s="20">
        <v>48.0</v>
      </c>
      <c r="D336" s="26">
        <v>335.0</v>
      </c>
      <c r="E336" s="9">
        <f>A338/31</f>
        <v>6405.580645</v>
      </c>
      <c r="F336" s="9">
        <f t="shared" si="34"/>
        <v>0.4666666667</v>
      </c>
      <c r="G336" s="22">
        <f t="shared" si="35"/>
        <v>6647.447455</v>
      </c>
      <c r="H336" s="8"/>
      <c r="I336" s="9">
        <f t="shared" si="2"/>
        <v>48</v>
      </c>
      <c r="J336" s="8"/>
      <c r="K336" s="27"/>
      <c r="L336" s="9">
        <f t="shared" si="4"/>
        <v>42477.31967</v>
      </c>
      <c r="M336" s="27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3" t="s">
        <v>75</v>
      </c>
      <c r="B337" s="19">
        <v>41975.0</v>
      </c>
      <c r="C337" s="20">
        <v>48.0</v>
      </c>
      <c r="D337" s="26">
        <v>336.0</v>
      </c>
      <c r="E337" s="9">
        <f>A338/31</f>
        <v>6405.580645</v>
      </c>
      <c r="F337" s="9">
        <f t="shared" si="34"/>
        <v>0.4333333333</v>
      </c>
      <c r="G337" s="22">
        <f t="shared" si="35"/>
        <v>6630.171254</v>
      </c>
      <c r="H337" s="8"/>
      <c r="I337" s="9">
        <f t="shared" si="2"/>
        <v>48</v>
      </c>
      <c r="J337" s="8"/>
      <c r="K337" s="27"/>
      <c r="L337" s="9">
        <f t="shared" si="4"/>
        <v>42477.31967</v>
      </c>
      <c r="M337" s="27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20">
        <v>198573.0</v>
      </c>
      <c r="B338" s="19">
        <v>41976.0</v>
      </c>
      <c r="C338" s="20">
        <v>49.0</v>
      </c>
      <c r="D338" s="26">
        <v>337.0</v>
      </c>
      <c r="E338" s="9">
        <f t="shared" ref="E338:E366" si="36">E337</f>
        <v>6405.580645</v>
      </c>
      <c r="F338" s="9">
        <f t="shared" si="34"/>
        <v>0.4</v>
      </c>
      <c r="G338" s="22">
        <f t="shared" si="35"/>
        <v>6612.895054</v>
      </c>
      <c r="H338" s="8"/>
      <c r="I338" s="9">
        <f t="shared" si="2"/>
        <v>49</v>
      </c>
      <c r="J338" s="22">
        <f>SUM(G338:G344)</f>
        <v>45927.46516</v>
      </c>
      <c r="K338" s="24">
        <v>45927.46516</v>
      </c>
      <c r="L338" s="9">
        <f t="shared" si="4"/>
        <v>42477.31967</v>
      </c>
      <c r="M338" s="24">
        <v>42477.31967</v>
      </c>
      <c r="N338" s="25">
        <v>12319.29394</v>
      </c>
      <c r="O338" s="25">
        <v>10931.48678</v>
      </c>
      <c r="P338" s="25">
        <v>2645.677931</v>
      </c>
      <c r="Q338" s="25">
        <v>20148.80512</v>
      </c>
      <c r="R338" s="18"/>
      <c r="S338" s="25">
        <v>10813.49542</v>
      </c>
      <c r="T338" s="25">
        <v>10001.90179</v>
      </c>
      <c r="U338" s="25">
        <v>2638.381745</v>
      </c>
      <c r="V338" s="25">
        <v>18349.36173</v>
      </c>
      <c r="W338" s="25">
        <v>1505.798522</v>
      </c>
      <c r="X338" s="25">
        <v>929.5849893</v>
      </c>
      <c r="Y338" s="25">
        <v>7.296186231</v>
      </c>
      <c r="Z338" s="25">
        <v>1799.44339</v>
      </c>
    </row>
    <row r="339">
      <c r="A339" s="28"/>
      <c r="B339" s="19">
        <v>41977.0</v>
      </c>
      <c r="C339" s="20">
        <v>49.0</v>
      </c>
      <c r="D339" s="26">
        <v>338.0</v>
      </c>
      <c r="E339" s="9">
        <f t="shared" si="36"/>
        <v>6405.580645</v>
      </c>
      <c r="F339" s="9">
        <f t="shared" si="34"/>
        <v>0.3666666667</v>
      </c>
      <c r="G339" s="22">
        <f t="shared" si="35"/>
        <v>6595.618853</v>
      </c>
      <c r="H339" s="8"/>
      <c r="I339" s="9">
        <f t="shared" si="2"/>
        <v>49</v>
      </c>
      <c r="J339" s="8"/>
      <c r="K339" s="27"/>
      <c r="L339" s="9">
        <f t="shared" si="4"/>
        <v>42477.31967</v>
      </c>
      <c r="M339" s="27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28"/>
      <c r="B340" s="19">
        <v>41978.0</v>
      </c>
      <c r="C340" s="20">
        <v>49.0</v>
      </c>
      <c r="D340" s="26">
        <v>339.0</v>
      </c>
      <c r="E340" s="9">
        <f t="shared" si="36"/>
        <v>6405.580645</v>
      </c>
      <c r="F340" s="9">
        <f t="shared" si="34"/>
        <v>0.3333333333</v>
      </c>
      <c r="G340" s="22">
        <f t="shared" si="35"/>
        <v>6578.342652</v>
      </c>
      <c r="H340" s="8"/>
      <c r="I340" s="9">
        <f t="shared" si="2"/>
        <v>49</v>
      </c>
      <c r="J340" s="8"/>
      <c r="K340" s="27"/>
      <c r="L340" s="9">
        <f t="shared" si="4"/>
        <v>42477.31967</v>
      </c>
      <c r="M340" s="27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28"/>
      <c r="B341" s="19">
        <v>41979.0</v>
      </c>
      <c r="C341" s="20">
        <v>49.0</v>
      </c>
      <c r="D341" s="26">
        <v>340.0</v>
      </c>
      <c r="E341" s="9">
        <f t="shared" si="36"/>
        <v>6405.580645</v>
      </c>
      <c r="F341" s="9">
        <f t="shared" si="34"/>
        <v>0.3</v>
      </c>
      <c r="G341" s="22">
        <f t="shared" si="35"/>
        <v>6561.066452</v>
      </c>
      <c r="H341" s="8"/>
      <c r="I341" s="9">
        <f t="shared" si="2"/>
        <v>49</v>
      </c>
      <c r="J341" s="8"/>
      <c r="K341" s="27"/>
      <c r="L341" s="9">
        <f t="shared" si="4"/>
        <v>42477.31967</v>
      </c>
      <c r="M341" s="27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28"/>
      <c r="B342" s="19">
        <v>41980.0</v>
      </c>
      <c r="C342" s="20">
        <v>49.0</v>
      </c>
      <c r="D342" s="26">
        <v>341.0</v>
      </c>
      <c r="E342" s="9">
        <f t="shared" si="36"/>
        <v>6405.580645</v>
      </c>
      <c r="F342" s="9">
        <f t="shared" si="34"/>
        <v>0.2666666667</v>
      </c>
      <c r="G342" s="22">
        <f t="shared" si="35"/>
        <v>6543.790251</v>
      </c>
      <c r="H342" s="8"/>
      <c r="I342" s="9">
        <f t="shared" si="2"/>
        <v>49</v>
      </c>
      <c r="J342" s="8"/>
      <c r="K342" s="27"/>
      <c r="L342" s="9">
        <f t="shared" si="4"/>
        <v>42477.31967</v>
      </c>
      <c r="M342" s="27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28"/>
      <c r="B343" s="19">
        <v>41981.0</v>
      </c>
      <c r="C343" s="20">
        <v>49.0</v>
      </c>
      <c r="D343" s="26">
        <v>342.0</v>
      </c>
      <c r="E343" s="9">
        <f t="shared" si="36"/>
        <v>6405.580645</v>
      </c>
      <c r="F343" s="9">
        <f t="shared" si="34"/>
        <v>0.2333333333</v>
      </c>
      <c r="G343" s="22">
        <f t="shared" si="35"/>
        <v>6526.51405</v>
      </c>
      <c r="H343" s="8"/>
      <c r="I343" s="9">
        <f t="shared" si="2"/>
        <v>49</v>
      </c>
      <c r="J343" s="8"/>
      <c r="K343" s="27"/>
      <c r="L343" s="9">
        <f t="shared" si="4"/>
        <v>42477.31967</v>
      </c>
      <c r="M343" s="27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28"/>
      <c r="B344" s="19">
        <v>41982.0</v>
      </c>
      <c r="C344" s="20">
        <v>49.0</v>
      </c>
      <c r="D344" s="26">
        <v>343.0</v>
      </c>
      <c r="E344" s="9">
        <f t="shared" si="36"/>
        <v>6405.580645</v>
      </c>
      <c r="F344" s="9">
        <f t="shared" si="34"/>
        <v>0.2</v>
      </c>
      <c r="G344" s="22">
        <f t="shared" si="35"/>
        <v>6509.237849</v>
      </c>
      <c r="H344" s="8"/>
      <c r="I344" s="9">
        <f t="shared" si="2"/>
        <v>49</v>
      </c>
      <c r="J344" s="8"/>
      <c r="K344" s="27"/>
      <c r="L344" s="9">
        <f t="shared" si="4"/>
        <v>42477.31967</v>
      </c>
      <c r="M344" s="27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28"/>
      <c r="B345" s="19">
        <v>41983.0</v>
      </c>
      <c r="C345" s="20">
        <v>50.0</v>
      </c>
      <c r="D345" s="26">
        <v>344.0</v>
      </c>
      <c r="E345" s="9">
        <f t="shared" si="36"/>
        <v>6405.580645</v>
      </c>
      <c r="F345" s="9">
        <f t="shared" si="34"/>
        <v>0.1666666667</v>
      </c>
      <c r="G345" s="22">
        <f t="shared" si="35"/>
        <v>6491.961649</v>
      </c>
      <c r="H345" s="8"/>
      <c r="I345" s="9">
        <f t="shared" si="2"/>
        <v>50</v>
      </c>
      <c r="J345" s="22">
        <f>SUM(G345:G351)</f>
        <v>45130.49161</v>
      </c>
      <c r="K345" s="24">
        <v>45130.49161</v>
      </c>
      <c r="L345" s="9">
        <f t="shared" si="4"/>
        <v>42477.31967</v>
      </c>
      <c r="M345" s="24">
        <v>42477.31967</v>
      </c>
      <c r="N345" s="25">
        <v>11876.96545</v>
      </c>
      <c r="O345" s="25">
        <v>10804.01239</v>
      </c>
      <c r="P345" s="25">
        <v>2810.023986</v>
      </c>
      <c r="Q345" s="25">
        <v>19728.30657</v>
      </c>
      <c r="R345" s="18"/>
      <c r="S345" s="25">
        <v>11733.1714</v>
      </c>
      <c r="T345" s="25">
        <v>10373.14535</v>
      </c>
      <c r="U345" s="25">
        <v>2585.233138</v>
      </c>
      <c r="V345" s="25">
        <v>18383.88608</v>
      </c>
      <c r="W345" s="25">
        <v>143.7940483</v>
      </c>
      <c r="X345" s="25">
        <v>430.8670421</v>
      </c>
      <c r="Y345" s="25">
        <v>224.7908476</v>
      </c>
      <c r="Z345" s="25">
        <v>1344.420491</v>
      </c>
    </row>
    <row r="346">
      <c r="A346" s="28"/>
      <c r="B346" s="19">
        <v>41984.0</v>
      </c>
      <c r="C346" s="20">
        <v>50.0</v>
      </c>
      <c r="D346" s="26">
        <v>345.0</v>
      </c>
      <c r="E346" s="9">
        <f t="shared" si="36"/>
        <v>6405.580645</v>
      </c>
      <c r="F346" s="9">
        <f t="shared" si="34"/>
        <v>0.1333333333</v>
      </c>
      <c r="G346" s="22">
        <f t="shared" si="35"/>
        <v>6474.685448</v>
      </c>
      <c r="H346" s="8"/>
      <c r="I346" s="9">
        <f t="shared" si="2"/>
        <v>50</v>
      </c>
      <c r="J346" s="8"/>
      <c r="K346" s="27"/>
      <c r="L346" s="9">
        <f t="shared" si="4"/>
        <v>42477.31967</v>
      </c>
      <c r="M346" s="27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28"/>
      <c r="B347" s="19">
        <v>41985.0</v>
      </c>
      <c r="C347" s="20">
        <v>50.0</v>
      </c>
      <c r="D347" s="26">
        <v>346.0</v>
      </c>
      <c r="E347" s="9">
        <f t="shared" si="36"/>
        <v>6405.580645</v>
      </c>
      <c r="F347" s="9">
        <f t="shared" si="34"/>
        <v>0.1</v>
      </c>
      <c r="G347" s="22">
        <f t="shared" si="35"/>
        <v>6457.409247</v>
      </c>
      <c r="H347" s="8"/>
      <c r="I347" s="9">
        <f t="shared" si="2"/>
        <v>50</v>
      </c>
      <c r="J347" s="8"/>
      <c r="K347" s="27"/>
      <c r="L347" s="9">
        <f t="shared" si="4"/>
        <v>42477.31967</v>
      </c>
      <c r="M347" s="27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28"/>
      <c r="B348" s="19">
        <v>41986.0</v>
      </c>
      <c r="C348" s="20">
        <v>50.0</v>
      </c>
      <c r="D348" s="26">
        <v>347.0</v>
      </c>
      <c r="E348" s="9">
        <f t="shared" si="36"/>
        <v>6405.580645</v>
      </c>
      <c r="F348" s="9">
        <f t="shared" si="34"/>
        <v>0.06666666667</v>
      </c>
      <c r="G348" s="22">
        <f t="shared" si="35"/>
        <v>6440.133047</v>
      </c>
      <c r="H348" s="8"/>
      <c r="I348" s="9">
        <f t="shared" si="2"/>
        <v>50</v>
      </c>
      <c r="J348" s="8"/>
      <c r="K348" s="27"/>
      <c r="L348" s="9">
        <f t="shared" si="4"/>
        <v>42477.31967</v>
      </c>
      <c r="M348" s="27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28"/>
      <c r="B349" s="19">
        <v>41987.0</v>
      </c>
      <c r="C349" s="20">
        <v>50.0</v>
      </c>
      <c r="D349" s="26">
        <v>348.0</v>
      </c>
      <c r="E349" s="9">
        <f t="shared" si="36"/>
        <v>6405.580645</v>
      </c>
      <c r="F349" s="9">
        <f t="shared" si="34"/>
        <v>0.03333333333</v>
      </c>
      <c r="G349" s="22">
        <f t="shared" si="35"/>
        <v>6422.856846</v>
      </c>
      <c r="H349" s="8"/>
      <c r="I349" s="9">
        <f t="shared" si="2"/>
        <v>50</v>
      </c>
      <c r="J349" s="8"/>
      <c r="K349" s="27"/>
      <c r="L349" s="9">
        <f t="shared" si="4"/>
        <v>42477.31967</v>
      </c>
      <c r="M349" s="27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28"/>
      <c r="B350" s="19">
        <v>41988.0</v>
      </c>
      <c r="C350" s="20">
        <v>50.0</v>
      </c>
      <c r="D350" s="26">
        <v>349.0</v>
      </c>
      <c r="E350" s="9">
        <f t="shared" si="36"/>
        <v>6405.580645</v>
      </c>
      <c r="F350" s="9">
        <f t="shared" si="34"/>
        <v>0</v>
      </c>
      <c r="G350" s="22">
        <f t="shared" si="35"/>
        <v>6405.580645</v>
      </c>
      <c r="H350" s="8"/>
      <c r="I350" s="9">
        <f t="shared" si="2"/>
        <v>50</v>
      </c>
      <c r="J350" s="8"/>
      <c r="K350" s="27"/>
      <c r="L350" s="9">
        <f t="shared" si="4"/>
        <v>42477.31967</v>
      </c>
      <c r="M350" s="27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3"/>
      <c r="B351" s="19">
        <v>41989.0</v>
      </c>
      <c r="C351" s="20">
        <v>50.0</v>
      </c>
      <c r="D351" s="26">
        <v>350.0</v>
      </c>
      <c r="E351" s="9">
        <f t="shared" si="36"/>
        <v>6405.580645</v>
      </c>
      <c r="F351" s="9">
        <f t="shared" ref="F351:F381" si="37">abs((D351-380)/(380-349))</f>
        <v>0.9677419355</v>
      </c>
      <c r="G351" s="22">
        <f t="shared" ref="G351:G381" si="38">E336*F351+(1-F351)*E2</f>
        <v>6437.864724</v>
      </c>
      <c r="H351" s="8"/>
      <c r="I351" s="9">
        <f t="shared" si="2"/>
        <v>50</v>
      </c>
      <c r="J351" s="8"/>
      <c r="K351" s="27"/>
      <c r="L351" s="9">
        <f t="shared" si="4"/>
        <v>42477.31967</v>
      </c>
      <c r="M351" s="27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3"/>
      <c r="B352" s="19">
        <v>41990.0</v>
      </c>
      <c r="C352" s="20">
        <v>51.0</v>
      </c>
      <c r="D352" s="26">
        <v>351.0</v>
      </c>
      <c r="E352" s="9">
        <f t="shared" si="36"/>
        <v>6405.580645</v>
      </c>
      <c r="F352" s="9">
        <f t="shared" si="37"/>
        <v>0.935483871</v>
      </c>
      <c r="G352" s="22">
        <f t="shared" si="38"/>
        <v>6470.148803</v>
      </c>
      <c r="H352" s="8"/>
      <c r="I352" s="9">
        <f t="shared" si="2"/>
        <v>51</v>
      </c>
      <c r="J352" s="22">
        <f>SUM(G352:G358)</f>
        <v>45969.00728</v>
      </c>
      <c r="K352" s="24">
        <v>45969.00728</v>
      </c>
      <c r="L352" s="9">
        <f t="shared" si="4"/>
        <v>42477.31967</v>
      </c>
      <c r="M352" s="24">
        <v>42477.31967</v>
      </c>
      <c r="N352" s="25">
        <v>12708.74567</v>
      </c>
      <c r="O352" s="25">
        <v>11011.97043</v>
      </c>
      <c r="P352" s="25">
        <v>2849.213428</v>
      </c>
      <c r="Q352" s="25">
        <v>19608.07602</v>
      </c>
      <c r="R352" s="18"/>
      <c r="S352" s="25">
        <v>10918.9906</v>
      </c>
      <c r="T352" s="25">
        <v>10455.9218</v>
      </c>
      <c r="U352" s="25">
        <v>2698.530132</v>
      </c>
      <c r="V352" s="25">
        <v>18470.9516</v>
      </c>
      <c r="W352" s="25">
        <v>1789.755071</v>
      </c>
      <c r="X352" s="25">
        <v>556.0486342</v>
      </c>
      <c r="Y352" s="25">
        <v>150.6832963</v>
      </c>
      <c r="Z352" s="25">
        <v>1137.124424</v>
      </c>
    </row>
    <row r="353">
      <c r="A353" s="28"/>
      <c r="B353" s="19">
        <v>41991.0</v>
      </c>
      <c r="C353" s="20">
        <v>51.0</v>
      </c>
      <c r="D353" s="26">
        <v>352.0</v>
      </c>
      <c r="E353" s="9">
        <f t="shared" si="36"/>
        <v>6405.580645</v>
      </c>
      <c r="F353" s="9">
        <f t="shared" si="37"/>
        <v>0.9032258065</v>
      </c>
      <c r="G353" s="22">
        <f t="shared" si="38"/>
        <v>6502.432882</v>
      </c>
      <c r="H353" s="8"/>
      <c r="I353" s="9">
        <f t="shared" si="2"/>
        <v>51</v>
      </c>
      <c r="J353" s="8"/>
      <c r="K353" s="27"/>
      <c r="L353" s="9">
        <f t="shared" si="4"/>
        <v>42477.31967</v>
      </c>
      <c r="M353" s="27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28"/>
      <c r="B354" s="19">
        <v>41992.0</v>
      </c>
      <c r="C354" s="20">
        <v>51.0</v>
      </c>
      <c r="D354" s="26">
        <v>353.0</v>
      </c>
      <c r="E354" s="9">
        <f t="shared" si="36"/>
        <v>6405.580645</v>
      </c>
      <c r="F354" s="9">
        <f t="shared" si="37"/>
        <v>0.8709677419</v>
      </c>
      <c r="G354" s="22">
        <f t="shared" si="38"/>
        <v>6534.716961</v>
      </c>
      <c r="H354" s="8"/>
      <c r="I354" s="9">
        <f t="shared" si="2"/>
        <v>51</v>
      </c>
      <c r="J354" s="8"/>
      <c r="K354" s="27"/>
      <c r="L354" s="9">
        <f t="shared" si="4"/>
        <v>42477.31967</v>
      </c>
      <c r="M354" s="27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28"/>
      <c r="B355" s="19">
        <v>41993.0</v>
      </c>
      <c r="C355" s="20">
        <v>51.0</v>
      </c>
      <c r="D355" s="26">
        <v>354.0</v>
      </c>
      <c r="E355" s="9">
        <f t="shared" si="36"/>
        <v>6405.580645</v>
      </c>
      <c r="F355" s="9">
        <f t="shared" si="37"/>
        <v>0.8387096774</v>
      </c>
      <c r="G355" s="22">
        <f t="shared" si="38"/>
        <v>6567.001041</v>
      </c>
      <c r="H355" s="8"/>
      <c r="I355" s="9">
        <f t="shared" si="2"/>
        <v>51</v>
      </c>
      <c r="J355" s="8"/>
      <c r="K355" s="27"/>
      <c r="L355" s="9">
        <f t="shared" si="4"/>
        <v>42477.31967</v>
      </c>
      <c r="M355" s="27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28"/>
      <c r="B356" s="19">
        <v>41994.0</v>
      </c>
      <c r="C356" s="20">
        <v>51.0</v>
      </c>
      <c r="D356" s="26">
        <v>355.0</v>
      </c>
      <c r="E356" s="9">
        <f t="shared" si="36"/>
        <v>6405.580645</v>
      </c>
      <c r="F356" s="9">
        <f t="shared" si="37"/>
        <v>0.8064516129</v>
      </c>
      <c r="G356" s="22">
        <f t="shared" si="38"/>
        <v>6599.28512</v>
      </c>
      <c r="H356" s="8"/>
      <c r="I356" s="9">
        <f t="shared" si="2"/>
        <v>51</v>
      </c>
      <c r="J356" s="8"/>
      <c r="K356" s="27"/>
      <c r="L356" s="9">
        <f t="shared" si="4"/>
        <v>42477.31967</v>
      </c>
      <c r="M356" s="27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28"/>
      <c r="B357" s="19">
        <v>41995.0</v>
      </c>
      <c r="C357" s="20">
        <v>51.0</v>
      </c>
      <c r="D357" s="26">
        <v>356.0</v>
      </c>
      <c r="E357" s="9">
        <f t="shared" si="36"/>
        <v>6405.580645</v>
      </c>
      <c r="F357" s="9">
        <f t="shared" si="37"/>
        <v>0.7741935484</v>
      </c>
      <c r="G357" s="22">
        <f t="shared" si="38"/>
        <v>6631.569199</v>
      </c>
      <c r="H357" s="8"/>
      <c r="I357" s="9">
        <f t="shared" si="2"/>
        <v>51</v>
      </c>
      <c r="J357" s="8"/>
      <c r="K357" s="27"/>
      <c r="L357" s="9">
        <f t="shared" si="4"/>
        <v>42477.31967</v>
      </c>
      <c r="M357" s="27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28"/>
      <c r="B358" s="19">
        <v>41996.0</v>
      </c>
      <c r="C358" s="20">
        <v>51.0</v>
      </c>
      <c r="D358" s="26">
        <v>357.0</v>
      </c>
      <c r="E358" s="9">
        <f t="shared" si="36"/>
        <v>6405.580645</v>
      </c>
      <c r="F358" s="9">
        <f t="shared" si="37"/>
        <v>0.7419354839</v>
      </c>
      <c r="G358" s="22">
        <f t="shared" si="38"/>
        <v>6663.853278</v>
      </c>
      <c r="H358" s="8"/>
      <c r="I358" s="9">
        <f t="shared" si="2"/>
        <v>51</v>
      </c>
      <c r="J358" s="8"/>
      <c r="K358" s="27"/>
      <c r="L358" s="9">
        <f t="shared" si="4"/>
        <v>42477.31967</v>
      </c>
      <c r="M358" s="27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28"/>
      <c r="B359" s="19">
        <v>41997.0</v>
      </c>
      <c r="C359" s="20">
        <v>52.0</v>
      </c>
      <c r="D359" s="26">
        <v>358.0</v>
      </c>
      <c r="E359" s="9">
        <f t="shared" si="36"/>
        <v>6405.580645</v>
      </c>
      <c r="F359" s="9">
        <f t="shared" si="37"/>
        <v>0.7096774194</v>
      </c>
      <c r="G359" s="22">
        <f t="shared" si="38"/>
        <v>6696.137357</v>
      </c>
      <c r="H359" s="8"/>
      <c r="I359" s="9">
        <f t="shared" si="2"/>
        <v>52</v>
      </c>
      <c r="J359" s="22">
        <f>SUM(G359:G365)</f>
        <v>47550.92716</v>
      </c>
      <c r="K359" s="24">
        <v>47550.92716</v>
      </c>
      <c r="L359" s="9">
        <f t="shared" si="4"/>
        <v>42477.31967</v>
      </c>
      <c r="M359" s="24">
        <v>42477.31967</v>
      </c>
      <c r="N359" s="25">
        <v>12963.21568</v>
      </c>
      <c r="O359" s="25">
        <v>11566.38645</v>
      </c>
      <c r="P359" s="25">
        <v>2904.125471</v>
      </c>
      <c r="Q359" s="25">
        <v>21404.10294</v>
      </c>
      <c r="R359" s="18"/>
      <c r="S359" s="25">
        <v>11620.03171</v>
      </c>
      <c r="T359" s="25">
        <v>10313.54288</v>
      </c>
      <c r="U359" s="25">
        <v>2516.94853</v>
      </c>
      <c r="V359" s="25">
        <v>18684.73463</v>
      </c>
      <c r="W359" s="25">
        <v>1343.183964</v>
      </c>
      <c r="X359" s="25">
        <v>1252.843563</v>
      </c>
      <c r="Y359" s="25">
        <v>387.1769407</v>
      </c>
      <c r="Z359" s="25">
        <v>2719.368306</v>
      </c>
    </row>
    <row r="360">
      <c r="A360" s="28"/>
      <c r="B360" s="19">
        <v>41998.0</v>
      </c>
      <c r="C360" s="20">
        <v>52.0</v>
      </c>
      <c r="D360" s="26">
        <v>359.0</v>
      </c>
      <c r="E360" s="9">
        <f t="shared" si="36"/>
        <v>6405.580645</v>
      </c>
      <c r="F360" s="9">
        <f t="shared" si="37"/>
        <v>0.6774193548</v>
      </c>
      <c r="G360" s="22">
        <f t="shared" si="38"/>
        <v>6728.421436</v>
      </c>
      <c r="H360" s="8"/>
      <c r="I360" s="9">
        <f t="shared" si="2"/>
        <v>52</v>
      </c>
      <c r="J360" s="8"/>
      <c r="K360" s="27"/>
      <c r="L360" s="9">
        <f t="shared" si="4"/>
        <v>42477.31967</v>
      </c>
      <c r="M360" s="27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28"/>
      <c r="B361" s="19">
        <v>41999.0</v>
      </c>
      <c r="C361" s="20">
        <v>52.0</v>
      </c>
      <c r="D361" s="26">
        <v>360.0</v>
      </c>
      <c r="E361" s="9">
        <f t="shared" si="36"/>
        <v>6405.580645</v>
      </c>
      <c r="F361" s="9">
        <f t="shared" si="37"/>
        <v>0.6451612903</v>
      </c>
      <c r="G361" s="22">
        <f t="shared" si="38"/>
        <v>6760.705515</v>
      </c>
      <c r="H361" s="8"/>
      <c r="I361" s="9">
        <f t="shared" si="2"/>
        <v>52</v>
      </c>
      <c r="J361" s="8"/>
      <c r="K361" s="27"/>
      <c r="L361" s="9">
        <f t="shared" si="4"/>
        <v>42477.31967</v>
      </c>
      <c r="M361" s="27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28"/>
      <c r="B362" s="19">
        <v>42000.0</v>
      </c>
      <c r="C362" s="20">
        <v>52.0</v>
      </c>
      <c r="D362" s="26">
        <v>361.0</v>
      </c>
      <c r="E362" s="9">
        <f t="shared" si="36"/>
        <v>6405.580645</v>
      </c>
      <c r="F362" s="9">
        <f t="shared" si="37"/>
        <v>0.6129032258</v>
      </c>
      <c r="G362" s="22">
        <f t="shared" si="38"/>
        <v>6792.989594</v>
      </c>
      <c r="H362" s="8"/>
      <c r="I362" s="9">
        <f t="shared" si="2"/>
        <v>52</v>
      </c>
      <c r="J362" s="8"/>
      <c r="K362" s="27"/>
      <c r="L362" s="9">
        <f t="shared" si="4"/>
        <v>42477.31967</v>
      </c>
      <c r="M362" s="27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28"/>
      <c r="B363" s="19">
        <v>42001.0</v>
      </c>
      <c r="C363" s="20">
        <v>52.0</v>
      </c>
      <c r="D363" s="26">
        <v>362.0</v>
      </c>
      <c r="E363" s="9">
        <f t="shared" si="36"/>
        <v>6405.580645</v>
      </c>
      <c r="F363" s="9">
        <f t="shared" si="37"/>
        <v>0.5806451613</v>
      </c>
      <c r="G363" s="22">
        <f t="shared" si="38"/>
        <v>6825.273673</v>
      </c>
      <c r="H363" s="8"/>
      <c r="I363" s="9">
        <f t="shared" si="2"/>
        <v>52</v>
      </c>
      <c r="J363" s="8"/>
      <c r="K363" s="27"/>
      <c r="L363" s="9">
        <f t="shared" si="4"/>
        <v>42477.31967</v>
      </c>
      <c r="M363" s="27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28"/>
      <c r="B364" s="19">
        <v>42002.0</v>
      </c>
      <c r="C364" s="20">
        <v>52.0</v>
      </c>
      <c r="D364" s="26">
        <v>363.0</v>
      </c>
      <c r="E364" s="9">
        <f t="shared" si="36"/>
        <v>6405.580645</v>
      </c>
      <c r="F364" s="9">
        <f t="shared" si="37"/>
        <v>0.5483870968</v>
      </c>
      <c r="G364" s="22">
        <f t="shared" si="38"/>
        <v>6857.557752</v>
      </c>
      <c r="H364" s="8"/>
      <c r="I364" s="9">
        <f t="shared" si="2"/>
        <v>52</v>
      </c>
      <c r="J364" s="8"/>
      <c r="K364" s="27"/>
      <c r="L364" s="9">
        <f t="shared" si="4"/>
        <v>42477.31967</v>
      </c>
      <c r="M364" s="27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28"/>
      <c r="B365" s="19">
        <v>42003.0</v>
      </c>
      <c r="C365" s="20">
        <v>52.0</v>
      </c>
      <c r="D365" s="26">
        <v>364.0</v>
      </c>
      <c r="E365" s="9">
        <f t="shared" si="36"/>
        <v>6405.580645</v>
      </c>
      <c r="F365" s="9">
        <f t="shared" si="37"/>
        <v>0.5161290323</v>
      </c>
      <c r="G365" s="22">
        <f t="shared" si="38"/>
        <v>6889.841831</v>
      </c>
      <c r="H365" s="8"/>
      <c r="I365" s="9">
        <f t="shared" si="2"/>
        <v>52</v>
      </c>
      <c r="J365" s="8"/>
      <c r="K365" s="27"/>
      <c r="L365" s="9">
        <f t="shared" si="4"/>
        <v>42477.31967</v>
      </c>
      <c r="M365" s="27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28"/>
      <c r="B366" s="19">
        <v>42004.0</v>
      </c>
      <c r="C366" s="20">
        <v>53.0</v>
      </c>
      <c r="D366" s="26">
        <v>365.0</v>
      </c>
      <c r="E366" s="9">
        <f t="shared" si="36"/>
        <v>6405.580645</v>
      </c>
      <c r="F366" s="9">
        <f t="shared" si="37"/>
        <v>0.4838709677</v>
      </c>
      <c r="G366" s="22">
        <f t="shared" si="38"/>
        <v>6922.125911</v>
      </c>
      <c r="H366" s="8"/>
      <c r="I366" s="8"/>
      <c r="J366" s="8"/>
      <c r="K366" s="27"/>
      <c r="L366" s="8"/>
      <c r="M366" s="27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28"/>
      <c r="B367" s="28"/>
      <c r="C367" s="28"/>
      <c r="D367" s="26">
        <v>366.0</v>
      </c>
      <c r="E367" s="8"/>
      <c r="F367" s="9">
        <f t="shared" si="37"/>
        <v>0.4516129032</v>
      </c>
      <c r="G367" s="22">
        <f t="shared" si="38"/>
        <v>6954.40999</v>
      </c>
      <c r="H367" s="8"/>
      <c r="I367" s="8"/>
      <c r="J367" s="8"/>
      <c r="K367" s="27"/>
      <c r="L367" s="8"/>
      <c r="M367" s="27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28"/>
      <c r="B368" s="28"/>
      <c r="C368" s="28"/>
      <c r="D368" s="26">
        <v>367.0</v>
      </c>
      <c r="E368" s="8"/>
      <c r="F368" s="9">
        <f t="shared" si="37"/>
        <v>0.4193548387</v>
      </c>
      <c r="G368" s="22">
        <f t="shared" si="38"/>
        <v>6986.694069</v>
      </c>
      <c r="H368" s="8"/>
      <c r="I368" s="8"/>
      <c r="J368" s="8"/>
      <c r="K368" s="27"/>
      <c r="L368" s="8"/>
      <c r="M368" s="27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28"/>
      <c r="B369" s="28"/>
      <c r="C369" s="28"/>
      <c r="D369" s="26">
        <v>368.0</v>
      </c>
      <c r="E369" s="8"/>
      <c r="F369" s="9">
        <f t="shared" si="37"/>
        <v>0.3870967742</v>
      </c>
      <c r="G369" s="22">
        <f t="shared" si="38"/>
        <v>7018.978148</v>
      </c>
      <c r="H369" s="8"/>
      <c r="I369" s="8"/>
      <c r="J369" s="8"/>
      <c r="K369" s="27"/>
      <c r="L369" s="8"/>
      <c r="M369" s="27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28"/>
      <c r="B370" s="28"/>
      <c r="C370" s="28"/>
      <c r="D370" s="26">
        <v>369.0</v>
      </c>
      <c r="E370" s="8"/>
      <c r="F370" s="9">
        <f t="shared" si="37"/>
        <v>0.3548387097</v>
      </c>
      <c r="G370" s="22">
        <f t="shared" si="38"/>
        <v>7051.262227</v>
      </c>
      <c r="H370" s="8"/>
      <c r="I370" s="8"/>
      <c r="J370" s="8"/>
      <c r="K370" s="27"/>
      <c r="L370" s="8"/>
      <c r="M370" s="27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28"/>
      <c r="B371" s="28"/>
      <c r="C371" s="28"/>
      <c r="D371" s="26">
        <v>370.0</v>
      </c>
      <c r="E371" s="8"/>
      <c r="F371" s="9">
        <f t="shared" si="37"/>
        <v>0.3225806452</v>
      </c>
      <c r="G371" s="22">
        <f t="shared" si="38"/>
        <v>7083.546306</v>
      </c>
      <c r="H371" s="8"/>
      <c r="I371" s="8"/>
      <c r="J371" s="8"/>
      <c r="K371" s="27"/>
      <c r="L371" s="8"/>
      <c r="M371" s="27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28"/>
      <c r="B372" s="28"/>
      <c r="C372" s="28"/>
      <c r="D372" s="26">
        <v>371.0</v>
      </c>
      <c r="E372" s="8"/>
      <c r="F372" s="9">
        <f t="shared" si="37"/>
        <v>0.2903225806</v>
      </c>
      <c r="G372" s="22">
        <f t="shared" si="38"/>
        <v>7115.830385</v>
      </c>
      <c r="H372" s="8"/>
      <c r="I372" s="8"/>
      <c r="J372" s="8"/>
      <c r="K372" s="27"/>
      <c r="L372" s="8"/>
      <c r="M372" s="27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28"/>
      <c r="B373" s="28"/>
      <c r="C373" s="28"/>
      <c r="D373" s="26">
        <v>372.0</v>
      </c>
      <c r="E373" s="8"/>
      <c r="F373" s="9">
        <f t="shared" si="37"/>
        <v>0.2580645161</v>
      </c>
      <c r="G373" s="22">
        <f t="shared" si="38"/>
        <v>7148.114464</v>
      </c>
      <c r="H373" s="8"/>
      <c r="I373" s="8"/>
      <c r="J373" s="8"/>
      <c r="K373" s="27"/>
      <c r="L373" s="8"/>
      <c r="M373" s="27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28"/>
      <c r="B374" s="28"/>
      <c r="C374" s="28"/>
      <c r="D374" s="26">
        <v>373.0</v>
      </c>
      <c r="E374" s="8"/>
      <c r="F374" s="9">
        <f t="shared" si="37"/>
        <v>0.2258064516</v>
      </c>
      <c r="G374" s="22">
        <f t="shared" si="38"/>
        <v>7180.398543</v>
      </c>
      <c r="H374" s="8"/>
      <c r="I374" s="8"/>
      <c r="J374" s="8"/>
      <c r="K374" s="27"/>
      <c r="L374" s="8"/>
      <c r="M374" s="27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28"/>
      <c r="B375" s="28"/>
      <c r="C375" s="28"/>
      <c r="D375" s="26">
        <v>374.0</v>
      </c>
      <c r="E375" s="8"/>
      <c r="F375" s="9">
        <f t="shared" si="37"/>
        <v>0.1935483871</v>
      </c>
      <c r="G375" s="22">
        <f t="shared" si="38"/>
        <v>7212.682622</v>
      </c>
      <c r="H375" s="8"/>
      <c r="I375" s="8"/>
      <c r="J375" s="8"/>
      <c r="K375" s="27"/>
      <c r="L375" s="8"/>
      <c r="M375" s="27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28"/>
      <c r="B376" s="28"/>
      <c r="C376" s="28"/>
      <c r="D376" s="26">
        <v>375.0</v>
      </c>
      <c r="E376" s="8"/>
      <c r="F376" s="9">
        <f t="shared" si="37"/>
        <v>0.1612903226</v>
      </c>
      <c r="G376" s="22">
        <f t="shared" si="38"/>
        <v>7244.966701</v>
      </c>
      <c r="H376" s="8"/>
      <c r="I376" s="8"/>
      <c r="J376" s="8"/>
      <c r="K376" s="27"/>
      <c r="L376" s="8"/>
      <c r="M376" s="27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28"/>
      <c r="B377" s="28"/>
      <c r="C377" s="28"/>
      <c r="D377" s="26">
        <v>376.0</v>
      </c>
      <c r="E377" s="8"/>
      <c r="F377" s="9">
        <f t="shared" si="37"/>
        <v>0.1290322581</v>
      </c>
      <c r="G377" s="22">
        <f t="shared" si="38"/>
        <v>7277.25078</v>
      </c>
      <c r="H377" s="8"/>
      <c r="I377" s="8"/>
      <c r="J377" s="8"/>
      <c r="K377" s="27"/>
      <c r="L377" s="8"/>
      <c r="M377" s="27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28"/>
      <c r="B378" s="28"/>
      <c r="C378" s="28"/>
      <c r="D378" s="26">
        <v>377.0</v>
      </c>
      <c r="E378" s="8"/>
      <c r="F378" s="9">
        <f t="shared" si="37"/>
        <v>0.09677419355</v>
      </c>
      <c r="G378" s="22">
        <f t="shared" si="38"/>
        <v>7309.53486</v>
      </c>
      <c r="H378" s="8"/>
      <c r="I378" s="8"/>
      <c r="J378" s="8"/>
      <c r="K378" s="27"/>
      <c r="L378" s="8"/>
      <c r="M378" s="27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28"/>
      <c r="B379" s="28"/>
      <c r="C379" s="28"/>
      <c r="D379" s="26">
        <v>378.0</v>
      </c>
      <c r="E379" s="8"/>
      <c r="F379" s="9">
        <f t="shared" si="37"/>
        <v>0.06451612903</v>
      </c>
      <c r="G379" s="22">
        <f t="shared" si="38"/>
        <v>7341.818939</v>
      </c>
      <c r="H379" s="8"/>
      <c r="I379" s="8"/>
      <c r="J379" s="8"/>
      <c r="K379" s="27"/>
      <c r="L379" s="8"/>
      <c r="M379" s="27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28"/>
      <c r="B380" s="28"/>
      <c r="C380" s="28"/>
      <c r="D380" s="26">
        <v>379.0</v>
      </c>
      <c r="E380" s="8"/>
      <c r="F380" s="9">
        <f t="shared" si="37"/>
        <v>0.03225806452</v>
      </c>
      <c r="G380" s="22">
        <f t="shared" si="38"/>
        <v>7374.103018</v>
      </c>
      <c r="H380" s="8"/>
      <c r="I380" s="8"/>
      <c r="J380" s="8"/>
      <c r="K380" s="27"/>
      <c r="L380" s="8"/>
      <c r="M380" s="27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28"/>
      <c r="B381" s="28"/>
      <c r="C381" s="28"/>
      <c r="D381" s="26">
        <v>380.0</v>
      </c>
      <c r="E381" s="8"/>
      <c r="F381" s="9">
        <f t="shared" si="37"/>
        <v>0</v>
      </c>
      <c r="G381" s="22">
        <f t="shared" si="38"/>
        <v>7406.387097</v>
      </c>
      <c r="H381" s="8"/>
      <c r="I381" s="8"/>
      <c r="J381" s="8"/>
      <c r="K381" s="27"/>
      <c r="L381" s="8"/>
      <c r="M381" s="27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27"/>
      <c r="B382" s="27"/>
      <c r="C382" s="27"/>
      <c r="D382" s="31" t="s">
        <v>77</v>
      </c>
      <c r="E382" s="8"/>
      <c r="F382" s="8"/>
      <c r="G382" s="14"/>
      <c r="H382" s="8"/>
      <c r="I382" s="8"/>
      <c r="J382" s="8"/>
      <c r="K382" s="27"/>
      <c r="L382" s="8"/>
      <c r="M382" s="27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27"/>
      <c r="B383" s="27"/>
      <c r="C383" s="27"/>
      <c r="D383" s="36"/>
      <c r="E383" s="8"/>
      <c r="F383" s="8"/>
      <c r="G383" s="14"/>
      <c r="H383" s="8"/>
      <c r="I383" s="8"/>
      <c r="J383" s="8"/>
      <c r="K383" s="27"/>
      <c r="L383" s="8"/>
      <c r="M383" s="27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27"/>
      <c r="B384" s="27"/>
      <c r="C384" s="27"/>
      <c r="D384" s="36"/>
      <c r="E384" s="8"/>
      <c r="F384" s="8"/>
      <c r="G384" s="14"/>
      <c r="H384" s="8"/>
      <c r="I384" s="8"/>
      <c r="J384" s="8"/>
      <c r="K384" s="27"/>
      <c r="L384" s="8"/>
      <c r="M384" s="27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27"/>
      <c r="B385" s="27"/>
      <c r="C385" s="27"/>
      <c r="D385" s="36"/>
      <c r="E385" s="8"/>
      <c r="F385" s="8"/>
      <c r="G385" s="14"/>
      <c r="H385" s="8"/>
      <c r="I385" s="8"/>
      <c r="J385" s="8"/>
      <c r="K385" s="27"/>
      <c r="L385" s="8"/>
      <c r="M385" s="27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27"/>
      <c r="B386" s="27"/>
      <c r="C386" s="27"/>
      <c r="D386" s="27"/>
      <c r="E386" s="8"/>
      <c r="F386" s="8"/>
      <c r="G386" s="14"/>
      <c r="H386" s="8"/>
      <c r="I386" s="8"/>
      <c r="J386" s="8"/>
      <c r="K386" s="27"/>
      <c r="L386" s="8"/>
      <c r="M386" s="27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27"/>
      <c r="B387" s="27"/>
      <c r="C387" s="27"/>
      <c r="D387" s="27"/>
      <c r="E387" s="8"/>
      <c r="F387" s="8"/>
      <c r="G387" s="14"/>
      <c r="H387" s="8"/>
      <c r="I387" s="8"/>
      <c r="J387" s="8"/>
      <c r="K387" s="27"/>
      <c r="L387" s="8"/>
      <c r="M387" s="27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27"/>
      <c r="B388" s="27"/>
      <c r="C388" s="27"/>
      <c r="D388" s="27"/>
      <c r="E388" s="8"/>
      <c r="F388" s="8"/>
      <c r="G388" s="14"/>
      <c r="H388" s="8"/>
      <c r="I388" s="8"/>
      <c r="J388" s="8"/>
      <c r="K388" s="27"/>
      <c r="L388" s="8"/>
      <c r="M388" s="27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27"/>
      <c r="B389" s="27"/>
      <c r="C389" s="27"/>
      <c r="D389" s="27"/>
      <c r="E389" s="8"/>
      <c r="F389" s="8"/>
      <c r="G389" s="14"/>
      <c r="H389" s="8"/>
      <c r="I389" s="8"/>
      <c r="J389" s="8"/>
      <c r="K389" s="27"/>
      <c r="L389" s="8"/>
      <c r="M389" s="27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27"/>
      <c r="B390" s="27"/>
      <c r="C390" s="27"/>
      <c r="D390" s="27"/>
      <c r="E390" s="8"/>
      <c r="F390" s="8"/>
      <c r="G390" s="14"/>
      <c r="H390" s="8"/>
      <c r="I390" s="8"/>
      <c r="J390" s="8"/>
      <c r="K390" s="27"/>
      <c r="L390" s="8"/>
      <c r="M390" s="27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27"/>
      <c r="B391" s="27"/>
      <c r="C391" s="27"/>
      <c r="D391" s="27"/>
      <c r="E391" s="8"/>
      <c r="F391" s="8"/>
      <c r="G391" s="14"/>
      <c r="H391" s="8"/>
      <c r="I391" s="8"/>
      <c r="J391" s="8"/>
      <c r="K391" s="27"/>
      <c r="L391" s="8"/>
      <c r="M391" s="27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27"/>
      <c r="B392" s="27"/>
      <c r="C392" s="27"/>
      <c r="D392" s="27"/>
      <c r="E392" s="8"/>
      <c r="F392" s="8"/>
      <c r="G392" s="14"/>
      <c r="H392" s="8"/>
      <c r="I392" s="8"/>
      <c r="J392" s="8"/>
      <c r="K392" s="27"/>
      <c r="L392" s="8"/>
      <c r="M392" s="27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27"/>
      <c r="B393" s="27"/>
      <c r="C393" s="27"/>
      <c r="D393" s="27"/>
      <c r="E393" s="8"/>
      <c r="F393" s="8"/>
      <c r="G393" s="14"/>
      <c r="H393" s="8"/>
      <c r="I393" s="8"/>
      <c r="J393" s="8"/>
      <c r="K393" s="27"/>
      <c r="L393" s="8"/>
      <c r="M393" s="27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27"/>
      <c r="B394" s="27"/>
      <c r="C394" s="27"/>
      <c r="D394" s="27"/>
      <c r="E394" s="8"/>
      <c r="F394" s="8"/>
      <c r="G394" s="14"/>
      <c r="H394" s="8"/>
      <c r="I394" s="8"/>
      <c r="J394" s="8"/>
      <c r="K394" s="27"/>
      <c r="L394" s="8"/>
      <c r="M394" s="27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27"/>
      <c r="B395" s="27"/>
      <c r="C395" s="27"/>
      <c r="D395" s="27"/>
      <c r="E395" s="8"/>
      <c r="F395" s="8"/>
      <c r="G395" s="14"/>
      <c r="H395" s="8"/>
      <c r="I395" s="8"/>
      <c r="J395" s="8"/>
      <c r="K395" s="27"/>
      <c r="L395" s="8"/>
      <c r="M395" s="27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27"/>
      <c r="B396" s="27"/>
      <c r="C396" s="27"/>
      <c r="D396" s="27"/>
      <c r="E396" s="8"/>
      <c r="F396" s="8"/>
      <c r="G396" s="14"/>
      <c r="H396" s="8"/>
      <c r="I396" s="8"/>
      <c r="J396" s="8"/>
      <c r="K396" s="27"/>
      <c r="L396" s="8"/>
      <c r="M396" s="27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27"/>
      <c r="B397" s="27"/>
      <c r="C397" s="27"/>
      <c r="D397" s="27"/>
      <c r="E397" s="8"/>
      <c r="F397" s="8"/>
      <c r="G397" s="14"/>
      <c r="H397" s="8"/>
      <c r="I397" s="8"/>
      <c r="J397" s="8"/>
      <c r="K397" s="27"/>
      <c r="L397" s="8"/>
      <c r="M397" s="27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27"/>
      <c r="B398" s="27"/>
      <c r="C398" s="27"/>
      <c r="D398" s="27"/>
      <c r="E398" s="8"/>
      <c r="F398" s="8"/>
      <c r="G398" s="14"/>
      <c r="H398" s="8"/>
      <c r="I398" s="8"/>
      <c r="J398" s="8"/>
      <c r="K398" s="27"/>
      <c r="L398" s="8"/>
      <c r="M398" s="27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27"/>
      <c r="B399" s="27"/>
      <c r="C399" s="27"/>
      <c r="D399" s="27"/>
      <c r="E399" s="8"/>
      <c r="F399" s="8"/>
      <c r="G399" s="14"/>
      <c r="H399" s="8"/>
      <c r="I399" s="8"/>
      <c r="J399" s="8"/>
      <c r="K399" s="27"/>
      <c r="L399" s="8"/>
      <c r="M399" s="27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27"/>
      <c r="B400" s="27"/>
      <c r="C400" s="27"/>
      <c r="D400" s="27"/>
      <c r="E400" s="8"/>
      <c r="F400" s="8"/>
      <c r="G400" s="14"/>
      <c r="H400" s="8"/>
      <c r="I400" s="8"/>
      <c r="J400" s="8"/>
      <c r="K400" s="27"/>
      <c r="L400" s="8"/>
      <c r="M400" s="27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27"/>
      <c r="B401" s="27"/>
      <c r="C401" s="27"/>
      <c r="D401" s="27"/>
      <c r="E401" s="8"/>
      <c r="F401" s="8"/>
      <c r="G401" s="14"/>
      <c r="H401" s="8"/>
      <c r="I401" s="8"/>
      <c r="J401" s="8"/>
      <c r="K401" s="27"/>
      <c r="L401" s="8"/>
      <c r="M401" s="27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27"/>
      <c r="B402" s="27"/>
      <c r="C402" s="27"/>
      <c r="D402" s="27"/>
      <c r="E402" s="8"/>
      <c r="F402" s="8"/>
      <c r="G402" s="14"/>
      <c r="H402" s="8"/>
      <c r="I402" s="8"/>
      <c r="J402" s="8"/>
      <c r="K402" s="27"/>
      <c r="L402" s="8"/>
      <c r="M402" s="27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27"/>
      <c r="B403" s="27"/>
      <c r="C403" s="27"/>
      <c r="D403" s="27"/>
      <c r="E403" s="8"/>
      <c r="F403" s="8"/>
      <c r="G403" s="14"/>
      <c r="H403" s="8"/>
      <c r="I403" s="8"/>
      <c r="J403" s="8"/>
      <c r="K403" s="27"/>
      <c r="L403" s="8"/>
      <c r="M403" s="27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27"/>
      <c r="B404" s="27"/>
      <c r="C404" s="27"/>
      <c r="D404" s="27"/>
      <c r="E404" s="8"/>
      <c r="F404" s="8"/>
      <c r="G404" s="14"/>
      <c r="H404" s="8"/>
      <c r="I404" s="8"/>
      <c r="J404" s="8"/>
      <c r="K404" s="27"/>
      <c r="L404" s="8"/>
      <c r="M404" s="27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27"/>
      <c r="B405" s="27"/>
      <c r="C405" s="27"/>
      <c r="D405" s="27"/>
      <c r="E405" s="8"/>
      <c r="F405" s="8"/>
      <c r="G405" s="14"/>
      <c r="H405" s="8"/>
      <c r="I405" s="8"/>
      <c r="J405" s="8"/>
      <c r="K405" s="27"/>
      <c r="L405" s="8"/>
      <c r="M405" s="27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27"/>
      <c r="B406" s="27"/>
      <c r="C406" s="27"/>
      <c r="D406" s="27"/>
      <c r="E406" s="8"/>
      <c r="F406" s="8"/>
      <c r="G406" s="14"/>
      <c r="H406" s="8"/>
      <c r="I406" s="8"/>
      <c r="J406" s="8"/>
      <c r="K406" s="27"/>
      <c r="L406" s="8"/>
      <c r="M406" s="27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27"/>
      <c r="B407" s="27"/>
      <c r="C407" s="27"/>
      <c r="D407" s="27"/>
      <c r="E407" s="8"/>
      <c r="F407" s="8"/>
      <c r="G407" s="14"/>
      <c r="H407" s="8"/>
      <c r="I407" s="8"/>
      <c r="J407" s="8"/>
      <c r="K407" s="27"/>
      <c r="L407" s="8"/>
      <c r="M407" s="27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27"/>
      <c r="B408" s="27"/>
      <c r="C408" s="27"/>
      <c r="D408" s="27"/>
      <c r="E408" s="8"/>
      <c r="F408" s="8"/>
      <c r="G408" s="14"/>
      <c r="H408" s="8"/>
      <c r="I408" s="8"/>
      <c r="J408" s="8"/>
      <c r="K408" s="27"/>
      <c r="L408" s="8"/>
      <c r="M408" s="27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27"/>
      <c r="B409" s="27"/>
      <c r="C409" s="27"/>
      <c r="D409" s="27"/>
      <c r="E409" s="8"/>
      <c r="F409" s="8"/>
      <c r="G409" s="14"/>
      <c r="H409" s="8"/>
      <c r="I409" s="8"/>
      <c r="J409" s="8"/>
      <c r="K409" s="27"/>
      <c r="L409" s="8"/>
      <c r="M409" s="27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27"/>
      <c r="B410" s="27"/>
      <c r="C410" s="27"/>
      <c r="D410" s="27"/>
      <c r="E410" s="8"/>
      <c r="F410" s="8"/>
      <c r="G410" s="14"/>
      <c r="H410" s="8"/>
      <c r="I410" s="8"/>
      <c r="J410" s="8"/>
      <c r="K410" s="27"/>
      <c r="L410" s="8"/>
      <c r="M410" s="27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27"/>
      <c r="B411" s="27"/>
      <c r="C411" s="27"/>
      <c r="D411" s="27"/>
      <c r="E411" s="8"/>
      <c r="F411" s="8"/>
      <c r="G411" s="14"/>
      <c r="H411" s="8"/>
      <c r="I411" s="8"/>
      <c r="J411" s="8"/>
      <c r="K411" s="27"/>
      <c r="L411" s="8"/>
      <c r="M411" s="27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27"/>
      <c r="B412" s="27"/>
      <c r="C412" s="27"/>
      <c r="D412" s="27"/>
      <c r="E412" s="8"/>
      <c r="F412" s="8"/>
      <c r="G412" s="14"/>
      <c r="H412" s="8"/>
      <c r="I412" s="8"/>
      <c r="J412" s="8"/>
      <c r="K412" s="27"/>
      <c r="L412" s="8"/>
      <c r="M412" s="27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27"/>
      <c r="B413" s="27"/>
      <c r="C413" s="27"/>
      <c r="D413" s="27"/>
      <c r="E413" s="8"/>
      <c r="F413" s="8"/>
      <c r="G413" s="14"/>
      <c r="H413" s="8"/>
      <c r="I413" s="8"/>
      <c r="J413" s="8"/>
      <c r="K413" s="27"/>
      <c r="L413" s="8"/>
      <c r="M413" s="27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27"/>
      <c r="B414" s="27"/>
      <c r="C414" s="27"/>
      <c r="D414" s="27"/>
      <c r="E414" s="8"/>
      <c r="F414" s="8"/>
      <c r="G414" s="14"/>
      <c r="H414" s="8"/>
      <c r="I414" s="8"/>
      <c r="J414" s="8"/>
      <c r="K414" s="27"/>
      <c r="L414" s="8"/>
      <c r="M414" s="27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27"/>
      <c r="B415" s="27"/>
      <c r="C415" s="27"/>
      <c r="D415" s="27"/>
      <c r="E415" s="8"/>
      <c r="F415" s="8"/>
      <c r="G415" s="14"/>
      <c r="H415" s="8"/>
      <c r="I415" s="8"/>
      <c r="J415" s="8"/>
      <c r="K415" s="27"/>
      <c r="L415" s="8"/>
      <c r="M415" s="27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27"/>
      <c r="B416" s="27"/>
      <c r="C416" s="27"/>
      <c r="D416" s="27"/>
      <c r="E416" s="8"/>
      <c r="F416" s="8"/>
      <c r="G416" s="14"/>
      <c r="H416" s="8"/>
      <c r="I416" s="8"/>
      <c r="J416" s="8"/>
      <c r="K416" s="27"/>
      <c r="L416" s="8"/>
      <c r="M416" s="27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27"/>
      <c r="B417" s="27"/>
      <c r="C417" s="27"/>
      <c r="D417" s="27"/>
      <c r="E417" s="8"/>
      <c r="F417" s="8"/>
      <c r="G417" s="14"/>
      <c r="H417" s="8"/>
      <c r="I417" s="8"/>
      <c r="J417" s="8"/>
      <c r="K417" s="27"/>
      <c r="L417" s="8"/>
      <c r="M417" s="27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27"/>
      <c r="B418" s="27"/>
      <c r="C418" s="27"/>
      <c r="D418" s="27"/>
      <c r="E418" s="8"/>
      <c r="F418" s="8"/>
      <c r="G418" s="14"/>
      <c r="H418" s="8"/>
      <c r="I418" s="8"/>
      <c r="J418" s="8"/>
      <c r="K418" s="27"/>
      <c r="L418" s="8"/>
      <c r="M418" s="27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27"/>
      <c r="B419" s="27"/>
      <c r="C419" s="27"/>
      <c r="D419" s="27"/>
      <c r="E419" s="8"/>
      <c r="F419" s="8"/>
      <c r="G419" s="14"/>
      <c r="H419" s="8"/>
      <c r="I419" s="8"/>
      <c r="J419" s="8"/>
      <c r="K419" s="27"/>
      <c r="L419" s="8"/>
      <c r="M419" s="27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27"/>
      <c r="B420" s="27"/>
      <c r="C420" s="27"/>
      <c r="D420" s="27"/>
      <c r="E420" s="8"/>
      <c r="F420" s="8"/>
      <c r="G420" s="14"/>
      <c r="H420" s="8"/>
      <c r="I420" s="8"/>
      <c r="J420" s="8"/>
      <c r="K420" s="27"/>
      <c r="L420" s="8"/>
      <c r="M420" s="27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27"/>
      <c r="B421" s="27"/>
      <c r="C421" s="27"/>
      <c r="D421" s="27"/>
      <c r="E421" s="8"/>
      <c r="F421" s="8"/>
      <c r="G421" s="14"/>
      <c r="H421" s="8"/>
      <c r="I421" s="8"/>
      <c r="J421" s="8"/>
      <c r="K421" s="27"/>
      <c r="L421" s="8"/>
      <c r="M421" s="27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27"/>
      <c r="B422" s="27"/>
      <c r="C422" s="27"/>
      <c r="D422" s="27"/>
      <c r="E422" s="8"/>
      <c r="F422" s="8"/>
      <c r="G422" s="14"/>
      <c r="H422" s="8"/>
      <c r="I422" s="8"/>
      <c r="J422" s="8"/>
      <c r="K422" s="27"/>
      <c r="L422" s="8"/>
      <c r="M422" s="27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27"/>
      <c r="B423" s="27"/>
      <c r="C423" s="27"/>
      <c r="D423" s="27"/>
      <c r="E423" s="8"/>
      <c r="F423" s="8"/>
      <c r="G423" s="14"/>
      <c r="H423" s="8"/>
      <c r="I423" s="8"/>
      <c r="J423" s="8"/>
      <c r="K423" s="27"/>
      <c r="L423" s="8"/>
      <c r="M423" s="27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27"/>
      <c r="B424" s="27"/>
      <c r="C424" s="27"/>
      <c r="D424" s="27"/>
      <c r="E424" s="8"/>
      <c r="F424" s="8"/>
      <c r="G424" s="14"/>
      <c r="H424" s="8"/>
      <c r="I424" s="8"/>
      <c r="J424" s="8"/>
      <c r="K424" s="27"/>
      <c r="L424" s="8"/>
      <c r="M424" s="27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27"/>
      <c r="B425" s="27"/>
      <c r="C425" s="27"/>
      <c r="D425" s="27"/>
      <c r="E425" s="8"/>
      <c r="F425" s="8"/>
      <c r="G425" s="14"/>
      <c r="H425" s="8"/>
      <c r="I425" s="8"/>
      <c r="J425" s="8"/>
      <c r="K425" s="27"/>
      <c r="L425" s="8"/>
      <c r="M425" s="27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27"/>
      <c r="B426" s="27"/>
      <c r="C426" s="27"/>
      <c r="D426" s="27"/>
      <c r="E426" s="8"/>
      <c r="F426" s="8"/>
      <c r="G426" s="14"/>
      <c r="H426" s="8"/>
      <c r="I426" s="8"/>
      <c r="J426" s="8"/>
      <c r="K426" s="27"/>
      <c r="L426" s="8"/>
      <c r="M426" s="27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27"/>
      <c r="B427" s="27"/>
      <c r="C427" s="27"/>
      <c r="D427" s="27"/>
      <c r="E427" s="8"/>
      <c r="F427" s="8"/>
      <c r="G427" s="14"/>
      <c r="H427" s="8"/>
      <c r="I427" s="8"/>
      <c r="J427" s="8"/>
      <c r="K427" s="27"/>
      <c r="L427" s="8"/>
      <c r="M427" s="27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27"/>
      <c r="B428" s="27"/>
      <c r="C428" s="27"/>
      <c r="D428" s="27"/>
      <c r="E428" s="8"/>
      <c r="F428" s="8"/>
      <c r="G428" s="14"/>
      <c r="H428" s="8"/>
      <c r="I428" s="8"/>
      <c r="J428" s="8"/>
      <c r="K428" s="27"/>
      <c r="L428" s="8"/>
      <c r="M428" s="27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27"/>
      <c r="B429" s="27"/>
      <c r="C429" s="27"/>
      <c r="D429" s="27"/>
      <c r="E429" s="8"/>
      <c r="F429" s="8"/>
      <c r="G429" s="14"/>
      <c r="H429" s="8"/>
      <c r="I429" s="8"/>
      <c r="J429" s="8"/>
      <c r="K429" s="27"/>
      <c r="L429" s="8"/>
      <c r="M429" s="27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27"/>
      <c r="B430" s="27"/>
      <c r="C430" s="27"/>
      <c r="D430" s="27"/>
      <c r="E430" s="8"/>
      <c r="F430" s="8"/>
      <c r="G430" s="14"/>
      <c r="H430" s="8"/>
      <c r="I430" s="8"/>
      <c r="J430" s="8"/>
      <c r="K430" s="27"/>
      <c r="L430" s="8"/>
      <c r="M430" s="27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27"/>
      <c r="B431" s="27"/>
      <c r="C431" s="27"/>
      <c r="D431" s="27"/>
      <c r="E431" s="8"/>
      <c r="F431" s="8"/>
      <c r="G431" s="14"/>
      <c r="H431" s="8"/>
      <c r="I431" s="8"/>
      <c r="J431" s="8"/>
      <c r="K431" s="27"/>
      <c r="L431" s="8"/>
      <c r="M431" s="27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27"/>
      <c r="B432" s="27"/>
      <c r="C432" s="27"/>
      <c r="D432" s="27"/>
      <c r="E432" s="8"/>
      <c r="F432" s="8"/>
      <c r="G432" s="14"/>
      <c r="H432" s="8"/>
      <c r="I432" s="8"/>
      <c r="J432" s="8"/>
      <c r="K432" s="27"/>
      <c r="L432" s="8"/>
      <c r="M432" s="27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27"/>
      <c r="B433" s="27"/>
      <c r="C433" s="27"/>
      <c r="D433" s="27"/>
      <c r="E433" s="8"/>
      <c r="F433" s="8"/>
      <c r="G433" s="14"/>
      <c r="H433" s="8"/>
      <c r="I433" s="8"/>
      <c r="J433" s="8"/>
      <c r="K433" s="27"/>
      <c r="L433" s="8"/>
      <c r="M433" s="27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27"/>
      <c r="B434" s="27"/>
      <c r="C434" s="27"/>
      <c r="D434" s="27"/>
      <c r="E434" s="8"/>
      <c r="F434" s="8"/>
      <c r="G434" s="14"/>
      <c r="H434" s="8"/>
      <c r="I434" s="8"/>
      <c r="J434" s="8"/>
      <c r="K434" s="27"/>
      <c r="L434" s="8"/>
      <c r="M434" s="27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27"/>
      <c r="B435" s="27"/>
      <c r="C435" s="27"/>
      <c r="D435" s="27"/>
      <c r="E435" s="8"/>
      <c r="F435" s="8"/>
      <c r="G435" s="14"/>
      <c r="H435" s="8"/>
      <c r="I435" s="8"/>
      <c r="J435" s="8"/>
      <c r="K435" s="27"/>
      <c r="L435" s="8"/>
      <c r="M435" s="27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27"/>
      <c r="B436" s="27"/>
      <c r="C436" s="27"/>
      <c r="D436" s="27"/>
      <c r="E436" s="8"/>
      <c r="F436" s="8"/>
      <c r="G436" s="14"/>
      <c r="H436" s="8"/>
      <c r="I436" s="8"/>
      <c r="J436" s="8"/>
      <c r="K436" s="27"/>
      <c r="L436" s="8"/>
      <c r="M436" s="27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27"/>
      <c r="B437" s="27"/>
      <c r="C437" s="27"/>
      <c r="D437" s="27"/>
      <c r="E437" s="8"/>
      <c r="F437" s="8"/>
      <c r="G437" s="14"/>
      <c r="H437" s="8"/>
      <c r="I437" s="8"/>
      <c r="J437" s="8"/>
      <c r="K437" s="27"/>
      <c r="L437" s="8"/>
      <c r="M437" s="27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27"/>
      <c r="B438" s="27"/>
      <c r="C438" s="27"/>
      <c r="D438" s="27"/>
      <c r="E438" s="8"/>
      <c r="F438" s="8"/>
      <c r="G438" s="14"/>
      <c r="H438" s="8"/>
      <c r="I438" s="8"/>
      <c r="J438" s="8"/>
      <c r="K438" s="27"/>
      <c r="L438" s="8"/>
      <c r="M438" s="27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27"/>
      <c r="B439" s="27"/>
      <c r="C439" s="27"/>
      <c r="D439" s="27"/>
      <c r="E439" s="8"/>
      <c r="F439" s="8"/>
      <c r="G439" s="14"/>
      <c r="H439" s="8"/>
      <c r="I439" s="8"/>
      <c r="J439" s="8"/>
      <c r="K439" s="27"/>
      <c r="L439" s="8"/>
      <c r="M439" s="27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27"/>
      <c r="B440" s="27"/>
      <c r="C440" s="27"/>
      <c r="D440" s="27"/>
      <c r="E440" s="8"/>
      <c r="F440" s="8"/>
      <c r="G440" s="14"/>
      <c r="H440" s="8"/>
      <c r="I440" s="8"/>
      <c r="J440" s="8"/>
      <c r="K440" s="27"/>
      <c r="L440" s="8"/>
      <c r="M440" s="27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27"/>
      <c r="B441" s="27"/>
      <c r="C441" s="27"/>
      <c r="D441" s="27"/>
      <c r="E441" s="8"/>
      <c r="F441" s="8"/>
      <c r="G441" s="14"/>
      <c r="H441" s="8"/>
      <c r="I441" s="8"/>
      <c r="J441" s="8"/>
      <c r="K441" s="27"/>
      <c r="L441" s="8"/>
      <c r="M441" s="27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27"/>
      <c r="B442" s="27"/>
      <c r="C442" s="27"/>
      <c r="D442" s="27"/>
      <c r="E442" s="8"/>
      <c r="F442" s="8"/>
      <c r="G442" s="14"/>
      <c r="H442" s="8"/>
      <c r="I442" s="8"/>
      <c r="J442" s="8"/>
      <c r="K442" s="27"/>
      <c r="L442" s="8"/>
      <c r="M442" s="27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27"/>
      <c r="B443" s="27"/>
      <c r="C443" s="27"/>
      <c r="D443" s="27"/>
      <c r="E443" s="8"/>
      <c r="F443" s="8"/>
      <c r="G443" s="14"/>
      <c r="H443" s="8"/>
      <c r="I443" s="8"/>
      <c r="J443" s="8"/>
      <c r="K443" s="27"/>
      <c r="L443" s="8"/>
      <c r="M443" s="27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27"/>
      <c r="B444" s="27"/>
      <c r="C444" s="27"/>
      <c r="D444" s="27"/>
      <c r="E444" s="8"/>
      <c r="F444" s="8"/>
      <c r="G444" s="14"/>
      <c r="H444" s="8"/>
      <c r="I444" s="8"/>
      <c r="J444" s="8"/>
      <c r="K444" s="27"/>
      <c r="L444" s="8"/>
      <c r="M444" s="27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27"/>
      <c r="B445" s="27"/>
      <c r="C445" s="27"/>
      <c r="D445" s="27"/>
      <c r="E445" s="8"/>
      <c r="F445" s="8"/>
      <c r="G445" s="14"/>
      <c r="H445" s="8"/>
      <c r="I445" s="8"/>
      <c r="J445" s="8"/>
      <c r="K445" s="27"/>
      <c r="L445" s="8"/>
      <c r="M445" s="27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27"/>
      <c r="B446" s="27"/>
      <c r="C446" s="27"/>
      <c r="D446" s="27"/>
      <c r="E446" s="8"/>
      <c r="F446" s="8"/>
      <c r="G446" s="14"/>
      <c r="H446" s="8"/>
      <c r="I446" s="8"/>
      <c r="J446" s="8"/>
      <c r="K446" s="27"/>
      <c r="L446" s="8"/>
      <c r="M446" s="27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27"/>
      <c r="B447" s="27"/>
      <c r="C447" s="27"/>
      <c r="D447" s="27"/>
      <c r="E447" s="8"/>
      <c r="F447" s="8"/>
      <c r="G447" s="14"/>
      <c r="H447" s="8"/>
      <c r="I447" s="8"/>
      <c r="J447" s="8"/>
      <c r="K447" s="27"/>
      <c r="L447" s="8"/>
      <c r="M447" s="27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27"/>
      <c r="B448" s="27"/>
      <c r="C448" s="27"/>
      <c r="D448" s="27"/>
      <c r="E448" s="8"/>
      <c r="F448" s="8"/>
      <c r="G448" s="14"/>
      <c r="H448" s="8"/>
      <c r="I448" s="8"/>
      <c r="J448" s="8"/>
      <c r="K448" s="27"/>
      <c r="L448" s="8"/>
      <c r="M448" s="27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27"/>
      <c r="B449" s="27"/>
      <c r="C449" s="27"/>
      <c r="D449" s="27"/>
      <c r="E449" s="8"/>
      <c r="F449" s="8"/>
      <c r="G449" s="14"/>
      <c r="H449" s="8"/>
      <c r="I449" s="8"/>
      <c r="J449" s="8"/>
      <c r="K449" s="27"/>
      <c r="L449" s="8"/>
      <c r="M449" s="27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27"/>
      <c r="B450" s="27"/>
      <c r="C450" s="27"/>
      <c r="D450" s="27"/>
      <c r="E450" s="8"/>
      <c r="F450" s="8"/>
      <c r="G450" s="14"/>
      <c r="H450" s="8"/>
      <c r="I450" s="8"/>
      <c r="J450" s="8"/>
      <c r="K450" s="27"/>
      <c r="L450" s="8"/>
      <c r="M450" s="27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27"/>
      <c r="B451" s="27"/>
      <c r="C451" s="27"/>
      <c r="D451" s="27"/>
      <c r="E451" s="8"/>
      <c r="F451" s="8"/>
      <c r="G451" s="14"/>
      <c r="H451" s="8"/>
      <c r="I451" s="8"/>
      <c r="J451" s="8"/>
      <c r="K451" s="27"/>
      <c r="L451" s="8"/>
      <c r="M451" s="27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27"/>
      <c r="B452" s="27"/>
      <c r="C452" s="27"/>
      <c r="D452" s="27"/>
      <c r="E452" s="8"/>
      <c r="F452" s="8"/>
      <c r="G452" s="14"/>
      <c r="H452" s="8"/>
      <c r="I452" s="8"/>
      <c r="J452" s="8"/>
      <c r="K452" s="27"/>
      <c r="L452" s="8"/>
      <c r="M452" s="27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27"/>
      <c r="B453" s="27"/>
      <c r="C453" s="27"/>
      <c r="D453" s="27"/>
      <c r="E453" s="8"/>
      <c r="F453" s="8"/>
      <c r="G453" s="14"/>
      <c r="H453" s="8"/>
      <c r="I453" s="8"/>
      <c r="J453" s="8"/>
      <c r="K453" s="27"/>
      <c r="L453" s="8"/>
      <c r="M453" s="27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27"/>
      <c r="B454" s="27"/>
      <c r="C454" s="27"/>
      <c r="D454" s="27"/>
      <c r="E454" s="8"/>
      <c r="F454" s="8"/>
      <c r="G454" s="14"/>
      <c r="H454" s="8"/>
      <c r="I454" s="8"/>
      <c r="J454" s="8"/>
      <c r="K454" s="27"/>
      <c r="L454" s="8"/>
      <c r="M454" s="27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27"/>
      <c r="B455" s="27"/>
      <c r="C455" s="27"/>
      <c r="D455" s="27"/>
      <c r="E455" s="8"/>
      <c r="F455" s="8"/>
      <c r="G455" s="14"/>
      <c r="H455" s="8"/>
      <c r="I455" s="8"/>
      <c r="J455" s="8"/>
      <c r="K455" s="27"/>
      <c r="L455" s="8"/>
      <c r="M455" s="27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27"/>
      <c r="B456" s="27"/>
      <c r="C456" s="27"/>
      <c r="D456" s="27"/>
      <c r="E456" s="8"/>
      <c r="F456" s="8"/>
      <c r="G456" s="14"/>
      <c r="H456" s="8"/>
      <c r="I456" s="8"/>
      <c r="J456" s="8"/>
      <c r="K456" s="27"/>
      <c r="L456" s="8"/>
      <c r="M456" s="27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27"/>
      <c r="B457" s="27"/>
      <c r="C457" s="27"/>
      <c r="D457" s="27"/>
      <c r="E457" s="8"/>
      <c r="F457" s="8"/>
      <c r="G457" s="14"/>
      <c r="H457" s="8"/>
      <c r="I457" s="8"/>
      <c r="J457" s="8"/>
      <c r="K457" s="27"/>
      <c r="L457" s="8"/>
      <c r="M457" s="27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27"/>
      <c r="B458" s="27"/>
      <c r="C458" s="27"/>
      <c r="D458" s="27"/>
      <c r="E458" s="8"/>
      <c r="F458" s="8"/>
      <c r="G458" s="14"/>
      <c r="H458" s="8"/>
      <c r="I458" s="8"/>
      <c r="J458" s="8"/>
      <c r="K458" s="27"/>
      <c r="L458" s="8"/>
      <c r="M458" s="27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27"/>
      <c r="B459" s="27"/>
      <c r="C459" s="27"/>
      <c r="D459" s="27"/>
      <c r="E459" s="8"/>
      <c r="F459" s="8"/>
      <c r="G459" s="14"/>
      <c r="H459" s="8"/>
      <c r="I459" s="8"/>
      <c r="J459" s="8"/>
      <c r="K459" s="27"/>
      <c r="L459" s="8"/>
      <c r="M459" s="27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27"/>
      <c r="B460" s="27"/>
      <c r="C460" s="27"/>
      <c r="D460" s="27"/>
      <c r="E460" s="8"/>
      <c r="F460" s="8"/>
      <c r="G460" s="14"/>
      <c r="H460" s="8"/>
      <c r="I460" s="8"/>
      <c r="J460" s="8"/>
      <c r="K460" s="27"/>
      <c r="L460" s="8"/>
      <c r="M460" s="27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27"/>
      <c r="B461" s="27"/>
      <c r="C461" s="27"/>
      <c r="D461" s="27"/>
      <c r="E461" s="8"/>
      <c r="F461" s="8"/>
      <c r="G461" s="14"/>
      <c r="H461" s="8"/>
      <c r="I461" s="8"/>
      <c r="J461" s="8"/>
      <c r="K461" s="27"/>
      <c r="L461" s="8"/>
      <c r="M461" s="27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27"/>
      <c r="B462" s="27"/>
      <c r="C462" s="27"/>
      <c r="D462" s="27"/>
      <c r="E462" s="8"/>
      <c r="F462" s="8"/>
      <c r="G462" s="14"/>
      <c r="H462" s="8"/>
      <c r="I462" s="8"/>
      <c r="J462" s="8"/>
      <c r="K462" s="27"/>
      <c r="L462" s="8"/>
      <c r="M462" s="27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27"/>
      <c r="B463" s="27"/>
      <c r="C463" s="27"/>
      <c r="D463" s="27"/>
      <c r="E463" s="8"/>
      <c r="F463" s="8"/>
      <c r="G463" s="14"/>
      <c r="H463" s="8"/>
      <c r="I463" s="8"/>
      <c r="J463" s="8"/>
      <c r="K463" s="27"/>
      <c r="L463" s="8"/>
      <c r="M463" s="27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27"/>
      <c r="B464" s="27"/>
      <c r="C464" s="27"/>
      <c r="D464" s="27"/>
      <c r="E464" s="8"/>
      <c r="F464" s="8"/>
      <c r="G464" s="14"/>
      <c r="H464" s="8"/>
      <c r="I464" s="8"/>
      <c r="J464" s="8"/>
      <c r="K464" s="27"/>
      <c r="L464" s="8"/>
      <c r="M464" s="27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27"/>
      <c r="B465" s="27"/>
      <c r="C465" s="27"/>
      <c r="D465" s="27"/>
      <c r="E465" s="8"/>
      <c r="F465" s="8"/>
      <c r="G465" s="14"/>
      <c r="H465" s="8"/>
      <c r="I465" s="8"/>
      <c r="J465" s="8"/>
      <c r="K465" s="27"/>
      <c r="L465" s="8"/>
      <c r="M465" s="27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27"/>
      <c r="B466" s="27"/>
      <c r="C466" s="27"/>
      <c r="D466" s="27"/>
      <c r="E466" s="8"/>
      <c r="F466" s="8"/>
      <c r="G466" s="14"/>
      <c r="H466" s="8"/>
      <c r="I466" s="8"/>
      <c r="J466" s="8"/>
      <c r="K466" s="27"/>
      <c r="L466" s="8"/>
      <c r="M466" s="27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27"/>
      <c r="B467" s="27"/>
      <c r="C467" s="27"/>
      <c r="D467" s="27"/>
      <c r="E467" s="8"/>
      <c r="F467" s="8"/>
      <c r="G467" s="14"/>
      <c r="H467" s="8"/>
      <c r="I467" s="8"/>
      <c r="J467" s="8"/>
      <c r="K467" s="27"/>
      <c r="L467" s="8"/>
      <c r="M467" s="27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27"/>
      <c r="B468" s="27"/>
      <c r="C468" s="27"/>
      <c r="D468" s="27"/>
      <c r="E468" s="8"/>
      <c r="F468" s="8"/>
      <c r="G468" s="14"/>
      <c r="H468" s="8"/>
      <c r="I468" s="8"/>
      <c r="J468" s="8"/>
      <c r="K468" s="27"/>
      <c r="L468" s="8"/>
      <c r="M468" s="27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27"/>
      <c r="B469" s="27"/>
      <c r="C469" s="27"/>
      <c r="D469" s="27"/>
      <c r="E469" s="8"/>
      <c r="F469" s="8"/>
      <c r="G469" s="14"/>
      <c r="H469" s="8"/>
      <c r="I469" s="8"/>
      <c r="J469" s="8"/>
      <c r="K469" s="27"/>
      <c r="L469" s="8"/>
      <c r="M469" s="27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27"/>
      <c r="B470" s="27"/>
      <c r="C470" s="27"/>
      <c r="D470" s="27"/>
      <c r="E470" s="8"/>
      <c r="F470" s="8"/>
      <c r="G470" s="14"/>
      <c r="H470" s="8"/>
      <c r="I470" s="8"/>
      <c r="J470" s="8"/>
      <c r="K470" s="27"/>
      <c r="L470" s="8"/>
      <c r="M470" s="27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27"/>
      <c r="B471" s="27"/>
      <c r="C471" s="27"/>
      <c r="D471" s="27"/>
      <c r="E471" s="8"/>
      <c r="F471" s="8"/>
      <c r="G471" s="14"/>
      <c r="H471" s="8"/>
      <c r="I471" s="8"/>
      <c r="J471" s="8"/>
      <c r="K471" s="27"/>
      <c r="L471" s="8"/>
      <c r="M471" s="27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27"/>
      <c r="B472" s="27"/>
      <c r="C472" s="27"/>
      <c r="D472" s="27"/>
      <c r="E472" s="8"/>
      <c r="F472" s="8"/>
      <c r="G472" s="14"/>
      <c r="H472" s="8"/>
      <c r="I472" s="8"/>
      <c r="J472" s="8"/>
      <c r="K472" s="27"/>
      <c r="L472" s="8"/>
      <c r="M472" s="27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27"/>
      <c r="B473" s="27"/>
      <c r="C473" s="27"/>
      <c r="D473" s="27"/>
      <c r="E473" s="8"/>
      <c r="F473" s="8"/>
      <c r="G473" s="14"/>
      <c r="H473" s="8"/>
      <c r="I473" s="8"/>
      <c r="J473" s="8"/>
      <c r="K473" s="27"/>
      <c r="L473" s="8"/>
      <c r="M473" s="27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27"/>
      <c r="B474" s="27"/>
      <c r="C474" s="27"/>
      <c r="D474" s="27"/>
      <c r="E474" s="8"/>
      <c r="F474" s="8"/>
      <c r="G474" s="14"/>
      <c r="H474" s="8"/>
      <c r="I474" s="8"/>
      <c r="J474" s="8"/>
      <c r="K474" s="27"/>
      <c r="L474" s="8"/>
      <c r="M474" s="27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27"/>
      <c r="B475" s="27"/>
      <c r="C475" s="27"/>
      <c r="D475" s="27"/>
      <c r="E475" s="8"/>
      <c r="F475" s="8"/>
      <c r="G475" s="14"/>
      <c r="H475" s="8"/>
      <c r="I475" s="8"/>
      <c r="J475" s="8"/>
      <c r="K475" s="27"/>
      <c r="L475" s="8"/>
      <c r="M475" s="27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27"/>
      <c r="B476" s="27"/>
      <c r="C476" s="27"/>
      <c r="D476" s="27"/>
      <c r="E476" s="8"/>
      <c r="F476" s="8"/>
      <c r="G476" s="14"/>
      <c r="H476" s="8"/>
      <c r="I476" s="8"/>
      <c r="J476" s="8"/>
      <c r="K476" s="27"/>
      <c r="L476" s="8"/>
      <c r="M476" s="27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27"/>
      <c r="B477" s="27"/>
      <c r="C477" s="27"/>
      <c r="D477" s="27"/>
      <c r="E477" s="8"/>
      <c r="F477" s="8"/>
      <c r="G477" s="14"/>
      <c r="H477" s="8"/>
      <c r="I477" s="8"/>
      <c r="J477" s="8"/>
      <c r="K477" s="27"/>
      <c r="L477" s="8"/>
      <c r="M477" s="27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27"/>
      <c r="B478" s="27"/>
      <c r="C478" s="27"/>
      <c r="D478" s="27"/>
      <c r="E478" s="8"/>
      <c r="F478" s="8"/>
      <c r="G478" s="14"/>
      <c r="H478" s="8"/>
      <c r="I478" s="8"/>
      <c r="J478" s="8"/>
      <c r="K478" s="27"/>
      <c r="L478" s="8"/>
      <c r="M478" s="27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27"/>
      <c r="B479" s="27"/>
      <c r="C479" s="27"/>
      <c r="D479" s="27"/>
      <c r="E479" s="8"/>
      <c r="F479" s="8"/>
      <c r="G479" s="14"/>
      <c r="H479" s="8"/>
      <c r="I479" s="8"/>
      <c r="J479" s="8"/>
      <c r="K479" s="27"/>
      <c r="L479" s="8"/>
      <c r="M479" s="27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27"/>
      <c r="B480" s="27"/>
      <c r="C480" s="27"/>
      <c r="D480" s="27"/>
      <c r="E480" s="8"/>
      <c r="F480" s="8"/>
      <c r="G480" s="14"/>
      <c r="H480" s="8"/>
      <c r="I480" s="8"/>
      <c r="J480" s="8"/>
      <c r="K480" s="27"/>
      <c r="L480" s="8"/>
      <c r="M480" s="27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27"/>
      <c r="B481" s="27"/>
      <c r="C481" s="27"/>
      <c r="D481" s="27"/>
      <c r="E481" s="8"/>
      <c r="F481" s="8"/>
      <c r="G481" s="14"/>
      <c r="H481" s="8"/>
      <c r="I481" s="8"/>
      <c r="J481" s="8"/>
      <c r="K481" s="27"/>
      <c r="L481" s="8"/>
      <c r="M481" s="27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27"/>
      <c r="B482" s="27"/>
      <c r="C482" s="27"/>
      <c r="D482" s="27"/>
      <c r="E482" s="8"/>
      <c r="F482" s="8"/>
      <c r="G482" s="14"/>
      <c r="H482" s="8"/>
      <c r="I482" s="8"/>
      <c r="J482" s="8"/>
      <c r="K482" s="27"/>
      <c r="L482" s="8"/>
      <c r="M482" s="27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27"/>
      <c r="B483" s="27"/>
      <c r="C483" s="27"/>
      <c r="D483" s="27"/>
      <c r="E483" s="8"/>
      <c r="F483" s="8"/>
      <c r="G483" s="14"/>
      <c r="H483" s="8"/>
      <c r="I483" s="8"/>
      <c r="J483" s="8"/>
      <c r="K483" s="27"/>
      <c r="L483" s="8"/>
      <c r="M483" s="27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27"/>
      <c r="B484" s="27"/>
      <c r="C484" s="27"/>
      <c r="D484" s="27"/>
      <c r="E484" s="8"/>
      <c r="F484" s="8"/>
      <c r="G484" s="14"/>
      <c r="H484" s="8"/>
      <c r="I484" s="8"/>
      <c r="J484" s="8"/>
      <c r="K484" s="27"/>
      <c r="L484" s="8"/>
      <c r="M484" s="27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27"/>
      <c r="B485" s="27"/>
      <c r="C485" s="27"/>
      <c r="D485" s="27"/>
      <c r="E485" s="8"/>
      <c r="F485" s="8"/>
      <c r="G485" s="14"/>
      <c r="H485" s="8"/>
      <c r="I485" s="8"/>
      <c r="J485" s="8"/>
      <c r="K485" s="27"/>
      <c r="L485" s="8"/>
      <c r="M485" s="27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27"/>
      <c r="B486" s="27"/>
      <c r="C486" s="27"/>
      <c r="D486" s="27"/>
      <c r="E486" s="8"/>
      <c r="F486" s="8"/>
      <c r="G486" s="14"/>
      <c r="H486" s="8"/>
      <c r="I486" s="8"/>
      <c r="J486" s="8"/>
      <c r="K486" s="27"/>
      <c r="L486" s="8"/>
      <c r="M486" s="27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27"/>
      <c r="B487" s="27"/>
      <c r="C487" s="27"/>
      <c r="D487" s="27"/>
      <c r="E487" s="8"/>
      <c r="F487" s="8"/>
      <c r="G487" s="14"/>
      <c r="H487" s="8"/>
      <c r="I487" s="8"/>
      <c r="J487" s="8"/>
      <c r="K487" s="27"/>
      <c r="L487" s="8"/>
      <c r="M487" s="27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27"/>
      <c r="B488" s="27"/>
      <c r="C488" s="27"/>
      <c r="D488" s="27"/>
      <c r="E488" s="8"/>
      <c r="F488" s="8"/>
      <c r="G488" s="14"/>
      <c r="H488" s="8"/>
      <c r="I488" s="8"/>
      <c r="J488" s="8"/>
      <c r="K488" s="27"/>
      <c r="L488" s="8"/>
      <c r="M488" s="27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27"/>
      <c r="B489" s="27"/>
      <c r="C489" s="27"/>
      <c r="D489" s="27"/>
      <c r="E489" s="8"/>
      <c r="F489" s="8"/>
      <c r="G489" s="14"/>
      <c r="H489" s="8"/>
      <c r="I489" s="8"/>
      <c r="J489" s="8"/>
      <c r="K489" s="27"/>
      <c r="L489" s="8"/>
      <c r="M489" s="27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27"/>
      <c r="B490" s="27"/>
      <c r="C490" s="27"/>
      <c r="D490" s="27"/>
      <c r="E490" s="8"/>
      <c r="F490" s="8"/>
      <c r="G490" s="14"/>
      <c r="H490" s="8"/>
      <c r="I490" s="8"/>
      <c r="J490" s="8"/>
      <c r="K490" s="27"/>
      <c r="L490" s="8"/>
      <c r="M490" s="27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27"/>
      <c r="B491" s="27"/>
      <c r="C491" s="27"/>
      <c r="D491" s="27"/>
      <c r="E491" s="8"/>
      <c r="F491" s="8"/>
      <c r="G491" s="14"/>
      <c r="H491" s="8"/>
      <c r="I491" s="8"/>
      <c r="J491" s="8"/>
      <c r="K491" s="27"/>
      <c r="L491" s="8"/>
      <c r="M491" s="27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27"/>
      <c r="B492" s="27"/>
      <c r="C492" s="27"/>
      <c r="D492" s="27"/>
      <c r="E492" s="8"/>
      <c r="F492" s="8"/>
      <c r="G492" s="14"/>
      <c r="H492" s="8"/>
      <c r="I492" s="8"/>
      <c r="J492" s="8"/>
      <c r="K492" s="27"/>
      <c r="L492" s="8"/>
      <c r="M492" s="27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27"/>
      <c r="B493" s="27"/>
      <c r="C493" s="27"/>
      <c r="D493" s="27"/>
      <c r="E493" s="8"/>
      <c r="F493" s="8"/>
      <c r="G493" s="14"/>
      <c r="H493" s="8"/>
      <c r="I493" s="8"/>
      <c r="J493" s="8"/>
      <c r="K493" s="27"/>
      <c r="L493" s="8"/>
      <c r="M493" s="27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27"/>
      <c r="B494" s="27"/>
      <c r="C494" s="27"/>
      <c r="D494" s="27"/>
      <c r="E494" s="8"/>
      <c r="F494" s="8"/>
      <c r="G494" s="14"/>
      <c r="H494" s="8"/>
      <c r="I494" s="8"/>
      <c r="J494" s="8"/>
      <c r="K494" s="27"/>
      <c r="L494" s="8"/>
      <c r="M494" s="27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27"/>
      <c r="B495" s="27"/>
      <c r="C495" s="27"/>
      <c r="D495" s="27"/>
      <c r="E495" s="8"/>
      <c r="F495" s="8"/>
      <c r="G495" s="14"/>
      <c r="H495" s="8"/>
      <c r="I495" s="8"/>
      <c r="J495" s="8"/>
      <c r="K495" s="27"/>
      <c r="L495" s="8"/>
      <c r="M495" s="27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27"/>
      <c r="B496" s="27"/>
      <c r="C496" s="27"/>
      <c r="D496" s="27"/>
      <c r="E496" s="8"/>
      <c r="F496" s="8"/>
      <c r="G496" s="14"/>
      <c r="H496" s="8"/>
      <c r="I496" s="8"/>
      <c r="J496" s="8"/>
      <c r="K496" s="27"/>
      <c r="L496" s="8"/>
      <c r="M496" s="27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27"/>
      <c r="B497" s="27"/>
      <c r="C497" s="27"/>
      <c r="D497" s="27"/>
      <c r="E497" s="8"/>
      <c r="F497" s="8"/>
      <c r="G497" s="14"/>
      <c r="H497" s="8"/>
      <c r="I497" s="8"/>
      <c r="J497" s="8"/>
      <c r="K497" s="27"/>
      <c r="L497" s="8"/>
      <c r="M497" s="27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27"/>
      <c r="B498" s="27"/>
      <c r="C498" s="27"/>
      <c r="D498" s="27"/>
      <c r="E498" s="8"/>
      <c r="F498" s="8"/>
      <c r="G498" s="14"/>
      <c r="H498" s="8"/>
      <c r="I498" s="8"/>
      <c r="J498" s="8"/>
      <c r="K498" s="27"/>
      <c r="L498" s="8"/>
      <c r="M498" s="27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27"/>
      <c r="B499" s="27"/>
      <c r="C499" s="27"/>
      <c r="D499" s="27"/>
      <c r="E499" s="8"/>
      <c r="F499" s="8"/>
      <c r="G499" s="14"/>
      <c r="H499" s="8"/>
      <c r="I499" s="8"/>
      <c r="J499" s="8"/>
      <c r="K499" s="27"/>
      <c r="L499" s="8"/>
      <c r="M499" s="27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27"/>
      <c r="B500" s="27"/>
      <c r="C500" s="27"/>
      <c r="D500" s="27"/>
      <c r="E500" s="8"/>
      <c r="F500" s="8"/>
      <c r="G500" s="14"/>
      <c r="H500" s="8"/>
      <c r="I500" s="8"/>
      <c r="J500" s="8"/>
      <c r="K500" s="27"/>
      <c r="L500" s="8"/>
      <c r="M500" s="27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27"/>
      <c r="B501" s="27"/>
      <c r="C501" s="27"/>
      <c r="D501" s="27"/>
      <c r="E501" s="8"/>
      <c r="F501" s="8"/>
      <c r="G501" s="14"/>
      <c r="H501" s="8"/>
      <c r="I501" s="8"/>
      <c r="J501" s="8"/>
      <c r="K501" s="27"/>
      <c r="L501" s="8"/>
      <c r="M501" s="27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27"/>
      <c r="B502" s="27"/>
      <c r="C502" s="27"/>
      <c r="D502" s="27"/>
      <c r="E502" s="8"/>
      <c r="F502" s="8"/>
      <c r="G502" s="14"/>
      <c r="H502" s="8"/>
      <c r="I502" s="8"/>
      <c r="J502" s="8"/>
      <c r="K502" s="27"/>
      <c r="L502" s="8"/>
      <c r="M502" s="27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27"/>
      <c r="B503" s="27"/>
      <c r="C503" s="27"/>
      <c r="D503" s="27"/>
      <c r="E503" s="8"/>
      <c r="F503" s="8"/>
      <c r="G503" s="14"/>
      <c r="H503" s="8"/>
      <c r="I503" s="8"/>
      <c r="J503" s="8"/>
      <c r="K503" s="27"/>
      <c r="L503" s="8"/>
      <c r="M503" s="27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27"/>
      <c r="B504" s="27"/>
      <c r="C504" s="27"/>
      <c r="D504" s="27"/>
      <c r="E504" s="8"/>
      <c r="F504" s="8"/>
      <c r="G504" s="14"/>
      <c r="H504" s="8"/>
      <c r="I504" s="8"/>
      <c r="J504" s="8"/>
      <c r="K504" s="27"/>
      <c r="L504" s="8"/>
      <c r="M504" s="27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27"/>
      <c r="B505" s="27"/>
      <c r="C505" s="27"/>
      <c r="D505" s="27"/>
      <c r="E505" s="8"/>
      <c r="F505" s="8"/>
      <c r="G505" s="14"/>
      <c r="H505" s="8"/>
      <c r="I505" s="8"/>
      <c r="J505" s="8"/>
      <c r="K505" s="27"/>
      <c r="L505" s="8"/>
      <c r="M505" s="27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27"/>
      <c r="B506" s="27"/>
      <c r="C506" s="27"/>
      <c r="D506" s="27"/>
      <c r="E506" s="8"/>
      <c r="F506" s="8"/>
      <c r="G506" s="14"/>
      <c r="H506" s="8"/>
      <c r="I506" s="8"/>
      <c r="J506" s="8"/>
      <c r="K506" s="27"/>
      <c r="L506" s="8"/>
      <c r="M506" s="27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27"/>
      <c r="B507" s="27"/>
      <c r="C507" s="27"/>
      <c r="D507" s="27"/>
      <c r="E507" s="8"/>
      <c r="F507" s="8"/>
      <c r="G507" s="14"/>
      <c r="H507" s="8"/>
      <c r="I507" s="8"/>
      <c r="J507" s="8"/>
      <c r="K507" s="27"/>
      <c r="L507" s="8"/>
      <c r="M507" s="27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27"/>
      <c r="B508" s="27"/>
      <c r="C508" s="27"/>
      <c r="D508" s="27"/>
      <c r="E508" s="8"/>
      <c r="F508" s="8"/>
      <c r="G508" s="14"/>
      <c r="H508" s="8"/>
      <c r="I508" s="8"/>
      <c r="J508" s="8"/>
      <c r="K508" s="27"/>
      <c r="L508" s="8"/>
      <c r="M508" s="27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27"/>
      <c r="B509" s="27"/>
      <c r="C509" s="27"/>
      <c r="D509" s="27"/>
      <c r="E509" s="8"/>
      <c r="F509" s="8"/>
      <c r="G509" s="14"/>
      <c r="H509" s="8"/>
      <c r="I509" s="8"/>
      <c r="J509" s="8"/>
      <c r="K509" s="27"/>
      <c r="L509" s="8"/>
      <c r="M509" s="27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27"/>
      <c r="B510" s="27"/>
      <c r="C510" s="27"/>
      <c r="D510" s="27"/>
      <c r="E510" s="8"/>
      <c r="F510" s="8"/>
      <c r="G510" s="14"/>
      <c r="H510" s="8"/>
      <c r="I510" s="8"/>
      <c r="J510" s="8"/>
      <c r="K510" s="27"/>
      <c r="L510" s="8"/>
      <c r="M510" s="27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27"/>
      <c r="B511" s="27"/>
      <c r="C511" s="27"/>
      <c r="D511" s="27"/>
      <c r="E511" s="8"/>
      <c r="F511" s="8"/>
      <c r="G511" s="14"/>
      <c r="H511" s="8"/>
      <c r="I511" s="8"/>
      <c r="J511" s="8"/>
      <c r="K511" s="27"/>
      <c r="L511" s="8"/>
      <c r="M511" s="27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27"/>
      <c r="B512" s="27"/>
      <c r="C512" s="27"/>
      <c r="D512" s="27"/>
      <c r="E512" s="8"/>
      <c r="F512" s="8"/>
      <c r="G512" s="14"/>
      <c r="H512" s="8"/>
      <c r="I512" s="8"/>
      <c r="J512" s="8"/>
      <c r="K512" s="27"/>
      <c r="L512" s="8"/>
      <c r="M512" s="27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27"/>
      <c r="B513" s="27"/>
      <c r="C513" s="27"/>
      <c r="D513" s="27"/>
      <c r="E513" s="8"/>
      <c r="F513" s="8"/>
      <c r="G513" s="14"/>
      <c r="H513" s="8"/>
      <c r="I513" s="8"/>
      <c r="J513" s="8"/>
      <c r="K513" s="27"/>
      <c r="L513" s="8"/>
      <c r="M513" s="27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27"/>
      <c r="B514" s="27"/>
      <c r="C514" s="27"/>
      <c r="D514" s="27"/>
      <c r="E514" s="8"/>
      <c r="F514" s="8"/>
      <c r="G514" s="14"/>
      <c r="H514" s="8"/>
      <c r="I514" s="8"/>
      <c r="J514" s="8"/>
      <c r="K514" s="27"/>
      <c r="L514" s="8"/>
      <c r="M514" s="27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27"/>
      <c r="B515" s="27"/>
      <c r="C515" s="27"/>
      <c r="D515" s="27"/>
      <c r="E515" s="8"/>
      <c r="F515" s="8"/>
      <c r="G515" s="14"/>
      <c r="H515" s="8"/>
      <c r="I515" s="8"/>
      <c r="J515" s="8"/>
      <c r="K515" s="27"/>
      <c r="L515" s="8"/>
      <c r="M515" s="27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27"/>
      <c r="B516" s="27"/>
      <c r="C516" s="27"/>
      <c r="D516" s="27"/>
      <c r="E516" s="8"/>
      <c r="F516" s="8"/>
      <c r="G516" s="14"/>
      <c r="H516" s="8"/>
      <c r="I516" s="8"/>
      <c r="J516" s="8"/>
      <c r="K516" s="27"/>
      <c r="L516" s="8"/>
      <c r="M516" s="27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27"/>
      <c r="B517" s="27"/>
      <c r="C517" s="27"/>
      <c r="D517" s="27"/>
      <c r="E517" s="8"/>
      <c r="F517" s="8"/>
      <c r="G517" s="14"/>
      <c r="H517" s="8"/>
      <c r="I517" s="8"/>
      <c r="J517" s="8"/>
      <c r="K517" s="27"/>
      <c r="L517" s="8"/>
      <c r="M517" s="27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27"/>
      <c r="B518" s="27"/>
      <c r="C518" s="27"/>
      <c r="D518" s="27"/>
      <c r="E518" s="8"/>
      <c r="F518" s="8"/>
      <c r="G518" s="14"/>
      <c r="H518" s="8"/>
      <c r="I518" s="8"/>
      <c r="J518" s="8"/>
      <c r="K518" s="27"/>
      <c r="L518" s="8"/>
      <c r="M518" s="27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27"/>
      <c r="B519" s="27"/>
      <c r="C519" s="27"/>
      <c r="D519" s="27"/>
      <c r="E519" s="8"/>
      <c r="F519" s="8"/>
      <c r="G519" s="14"/>
      <c r="H519" s="8"/>
      <c r="I519" s="8"/>
      <c r="J519" s="8"/>
      <c r="K519" s="27"/>
      <c r="L519" s="8"/>
      <c r="M519" s="27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27"/>
      <c r="B520" s="27"/>
      <c r="C520" s="27"/>
      <c r="D520" s="27"/>
      <c r="E520" s="8"/>
      <c r="F520" s="8"/>
      <c r="G520" s="14"/>
      <c r="H520" s="8"/>
      <c r="I520" s="8"/>
      <c r="J520" s="8"/>
      <c r="K520" s="27"/>
      <c r="L520" s="8"/>
      <c r="M520" s="27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27"/>
      <c r="B521" s="27"/>
      <c r="C521" s="27"/>
      <c r="D521" s="27"/>
      <c r="E521" s="8"/>
      <c r="F521" s="8"/>
      <c r="G521" s="14"/>
      <c r="H521" s="8"/>
      <c r="I521" s="8"/>
      <c r="J521" s="8"/>
      <c r="K521" s="27"/>
      <c r="L521" s="8"/>
      <c r="M521" s="27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27"/>
      <c r="B522" s="27"/>
      <c r="C522" s="27"/>
      <c r="D522" s="27"/>
      <c r="E522" s="8"/>
      <c r="F522" s="8"/>
      <c r="G522" s="14"/>
      <c r="H522" s="8"/>
      <c r="I522" s="8"/>
      <c r="J522" s="8"/>
      <c r="K522" s="27"/>
      <c r="L522" s="8"/>
      <c r="M522" s="27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27"/>
      <c r="B523" s="27"/>
      <c r="C523" s="27"/>
      <c r="D523" s="27"/>
      <c r="E523" s="8"/>
      <c r="F523" s="8"/>
      <c r="G523" s="14"/>
      <c r="H523" s="8"/>
      <c r="I523" s="8"/>
      <c r="J523" s="8"/>
      <c r="K523" s="27"/>
      <c r="L523" s="8"/>
      <c r="M523" s="27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27"/>
      <c r="B524" s="27"/>
      <c r="C524" s="27"/>
      <c r="D524" s="27"/>
      <c r="E524" s="8"/>
      <c r="F524" s="8"/>
      <c r="G524" s="14"/>
      <c r="H524" s="8"/>
      <c r="I524" s="8"/>
      <c r="J524" s="8"/>
      <c r="K524" s="27"/>
      <c r="L524" s="8"/>
      <c r="M524" s="27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27"/>
      <c r="B525" s="27"/>
      <c r="C525" s="27"/>
      <c r="D525" s="27"/>
      <c r="E525" s="8"/>
      <c r="F525" s="8"/>
      <c r="G525" s="14"/>
      <c r="H525" s="8"/>
      <c r="I525" s="8"/>
      <c r="J525" s="8"/>
      <c r="K525" s="27"/>
      <c r="L525" s="8"/>
      <c r="M525" s="27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27"/>
      <c r="B526" s="27"/>
      <c r="C526" s="27"/>
      <c r="D526" s="27"/>
      <c r="E526" s="8"/>
      <c r="F526" s="8"/>
      <c r="G526" s="14"/>
      <c r="H526" s="8"/>
      <c r="I526" s="8"/>
      <c r="J526" s="8"/>
      <c r="K526" s="27"/>
      <c r="L526" s="8"/>
      <c r="M526" s="27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27"/>
      <c r="B527" s="27"/>
      <c r="C527" s="27"/>
      <c r="D527" s="27"/>
      <c r="E527" s="8"/>
      <c r="F527" s="8"/>
      <c r="G527" s="14"/>
      <c r="H527" s="8"/>
      <c r="I527" s="8"/>
      <c r="J527" s="8"/>
      <c r="K527" s="27"/>
      <c r="L527" s="8"/>
      <c r="M527" s="27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27"/>
      <c r="B528" s="27"/>
      <c r="C528" s="27"/>
      <c r="D528" s="27"/>
      <c r="E528" s="8"/>
      <c r="F528" s="8"/>
      <c r="G528" s="14"/>
      <c r="H528" s="8"/>
      <c r="I528" s="8"/>
      <c r="J528" s="8"/>
      <c r="K528" s="27"/>
      <c r="L528" s="8"/>
      <c r="M528" s="27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27"/>
      <c r="B529" s="27"/>
      <c r="C529" s="27"/>
      <c r="D529" s="27"/>
      <c r="E529" s="8"/>
      <c r="F529" s="8"/>
      <c r="G529" s="14"/>
      <c r="H529" s="8"/>
      <c r="I529" s="8"/>
      <c r="J529" s="8"/>
      <c r="K529" s="27"/>
      <c r="L529" s="8"/>
      <c r="M529" s="27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27"/>
      <c r="B530" s="27"/>
      <c r="C530" s="27"/>
      <c r="D530" s="27"/>
      <c r="E530" s="8"/>
      <c r="F530" s="8"/>
      <c r="G530" s="14"/>
      <c r="H530" s="8"/>
      <c r="I530" s="8"/>
      <c r="J530" s="8"/>
      <c r="K530" s="27"/>
      <c r="L530" s="8"/>
      <c r="M530" s="27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27"/>
      <c r="B531" s="27"/>
      <c r="C531" s="27"/>
      <c r="D531" s="27"/>
      <c r="E531" s="8"/>
      <c r="F531" s="8"/>
      <c r="G531" s="14"/>
      <c r="H531" s="8"/>
      <c r="I531" s="8"/>
      <c r="J531" s="8"/>
      <c r="K531" s="27"/>
      <c r="L531" s="8"/>
      <c r="M531" s="27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27"/>
      <c r="B532" s="27"/>
      <c r="C532" s="27"/>
      <c r="D532" s="27"/>
      <c r="E532" s="8"/>
      <c r="F532" s="8"/>
      <c r="G532" s="14"/>
      <c r="H532" s="8"/>
      <c r="I532" s="8"/>
      <c r="J532" s="8"/>
      <c r="K532" s="27"/>
      <c r="L532" s="8"/>
      <c r="M532" s="27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27"/>
      <c r="B533" s="27"/>
      <c r="C533" s="27"/>
      <c r="D533" s="27"/>
      <c r="E533" s="8"/>
      <c r="F533" s="8"/>
      <c r="G533" s="14"/>
      <c r="H533" s="8"/>
      <c r="I533" s="8"/>
      <c r="J533" s="8"/>
      <c r="K533" s="27"/>
      <c r="L533" s="8"/>
      <c r="M533" s="27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27"/>
      <c r="B534" s="27"/>
      <c r="C534" s="27"/>
      <c r="D534" s="27"/>
      <c r="E534" s="8"/>
      <c r="F534" s="8"/>
      <c r="G534" s="14"/>
      <c r="H534" s="8"/>
      <c r="I534" s="8"/>
      <c r="J534" s="8"/>
      <c r="K534" s="27"/>
      <c r="L534" s="8"/>
      <c r="M534" s="27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27"/>
      <c r="B535" s="27"/>
      <c r="C535" s="27"/>
      <c r="D535" s="27"/>
      <c r="E535" s="8"/>
      <c r="F535" s="8"/>
      <c r="G535" s="14"/>
      <c r="H535" s="8"/>
      <c r="I535" s="8"/>
      <c r="J535" s="8"/>
      <c r="K535" s="27"/>
      <c r="L535" s="8"/>
      <c r="M535" s="27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27"/>
      <c r="B536" s="27"/>
      <c r="C536" s="27"/>
      <c r="D536" s="27"/>
      <c r="E536" s="8"/>
      <c r="F536" s="8"/>
      <c r="G536" s="14"/>
      <c r="H536" s="8"/>
      <c r="I536" s="8"/>
      <c r="J536" s="8"/>
      <c r="K536" s="27"/>
      <c r="L536" s="8"/>
      <c r="M536" s="27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27"/>
      <c r="B537" s="27"/>
      <c r="C537" s="27"/>
      <c r="D537" s="27"/>
      <c r="E537" s="8"/>
      <c r="F537" s="8"/>
      <c r="G537" s="14"/>
      <c r="H537" s="8"/>
      <c r="I537" s="8"/>
      <c r="J537" s="8"/>
      <c r="K537" s="27"/>
      <c r="L537" s="8"/>
      <c r="M537" s="27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27"/>
      <c r="B538" s="27"/>
      <c r="C538" s="27"/>
      <c r="D538" s="27"/>
      <c r="E538" s="8"/>
      <c r="F538" s="8"/>
      <c r="G538" s="14"/>
      <c r="H538" s="8"/>
      <c r="I538" s="8"/>
      <c r="J538" s="8"/>
      <c r="K538" s="27"/>
      <c r="L538" s="8"/>
      <c r="M538" s="27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27"/>
      <c r="B539" s="27"/>
      <c r="C539" s="27"/>
      <c r="D539" s="27"/>
      <c r="E539" s="8"/>
      <c r="F539" s="8"/>
      <c r="G539" s="14"/>
      <c r="H539" s="8"/>
      <c r="I539" s="8"/>
      <c r="J539" s="8"/>
      <c r="K539" s="27"/>
      <c r="L539" s="8"/>
      <c r="M539" s="27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27"/>
      <c r="B540" s="27"/>
      <c r="C540" s="27"/>
      <c r="D540" s="27"/>
      <c r="E540" s="8"/>
      <c r="F540" s="8"/>
      <c r="G540" s="14"/>
      <c r="H540" s="8"/>
      <c r="I540" s="8"/>
      <c r="J540" s="8"/>
      <c r="K540" s="27"/>
      <c r="L540" s="8"/>
      <c r="M540" s="27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27"/>
      <c r="B541" s="27"/>
      <c r="C541" s="27"/>
      <c r="D541" s="27"/>
      <c r="E541" s="8"/>
      <c r="F541" s="8"/>
      <c r="G541" s="14"/>
      <c r="H541" s="8"/>
      <c r="I541" s="8"/>
      <c r="J541" s="8"/>
      <c r="K541" s="27"/>
      <c r="L541" s="8"/>
      <c r="M541" s="27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27"/>
      <c r="B542" s="27"/>
      <c r="C542" s="27"/>
      <c r="D542" s="27"/>
      <c r="E542" s="8"/>
      <c r="F542" s="8"/>
      <c r="G542" s="14"/>
      <c r="H542" s="8"/>
      <c r="I542" s="8"/>
      <c r="J542" s="8"/>
      <c r="K542" s="27"/>
      <c r="L542" s="8"/>
      <c r="M542" s="27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27"/>
      <c r="B543" s="27"/>
      <c r="C543" s="27"/>
      <c r="D543" s="27"/>
      <c r="E543" s="8"/>
      <c r="F543" s="8"/>
      <c r="G543" s="14"/>
      <c r="H543" s="8"/>
      <c r="I543" s="8"/>
      <c r="J543" s="8"/>
      <c r="K543" s="27"/>
      <c r="L543" s="8"/>
      <c r="M543" s="27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27"/>
      <c r="B544" s="27"/>
      <c r="C544" s="27"/>
      <c r="D544" s="27"/>
      <c r="E544" s="8"/>
      <c r="F544" s="8"/>
      <c r="G544" s="14"/>
      <c r="H544" s="8"/>
      <c r="I544" s="8"/>
      <c r="J544" s="8"/>
      <c r="K544" s="27"/>
      <c r="L544" s="8"/>
      <c r="M544" s="27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27"/>
      <c r="B545" s="27"/>
      <c r="C545" s="27"/>
      <c r="D545" s="27"/>
      <c r="E545" s="8"/>
      <c r="F545" s="8"/>
      <c r="G545" s="14"/>
      <c r="H545" s="8"/>
      <c r="I545" s="8"/>
      <c r="J545" s="8"/>
      <c r="K545" s="27"/>
      <c r="L545" s="8"/>
      <c r="M545" s="27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27"/>
      <c r="B546" s="27"/>
      <c r="C546" s="27"/>
      <c r="D546" s="27"/>
      <c r="E546" s="8"/>
      <c r="F546" s="8"/>
      <c r="G546" s="14"/>
      <c r="H546" s="8"/>
      <c r="I546" s="8"/>
      <c r="J546" s="8"/>
      <c r="K546" s="27"/>
      <c r="L546" s="8"/>
      <c r="M546" s="27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27"/>
      <c r="B547" s="27"/>
      <c r="C547" s="27"/>
      <c r="D547" s="27"/>
      <c r="E547" s="8"/>
      <c r="F547" s="8"/>
      <c r="G547" s="14"/>
      <c r="H547" s="8"/>
      <c r="I547" s="8"/>
      <c r="J547" s="8"/>
      <c r="K547" s="27"/>
      <c r="L547" s="8"/>
      <c r="M547" s="27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27"/>
      <c r="B548" s="27"/>
      <c r="C548" s="27"/>
      <c r="D548" s="27"/>
      <c r="E548" s="8"/>
      <c r="F548" s="8"/>
      <c r="G548" s="14"/>
      <c r="H548" s="8"/>
      <c r="I548" s="8"/>
      <c r="J548" s="8"/>
      <c r="K548" s="27"/>
      <c r="L548" s="8"/>
      <c r="M548" s="27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27"/>
      <c r="B549" s="27"/>
      <c r="C549" s="27"/>
      <c r="D549" s="27"/>
      <c r="E549" s="8"/>
      <c r="F549" s="8"/>
      <c r="G549" s="14"/>
      <c r="H549" s="8"/>
      <c r="I549" s="8"/>
      <c r="J549" s="8"/>
      <c r="K549" s="27"/>
      <c r="L549" s="8"/>
      <c r="M549" s="27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27"/>
      <c r="B550" s="27"/>
      <c r="C550" s="27"/>
      <c r="D550" s="27"/>
      <c r="E550" s="8"/>
      <c r="F550" s="8"/>
      <c r="G550" s="14"/>
      <c r="H550" s="8"/>
      <c r="I550" s="8"/>
      <c r="J550" s="8"/>
      <c r="K550" s="27"/>
      <c r="L550" s="8"/>
      <c r="M550" s="27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27"/>
      <c r="B551" s="27"/>
      <c r="C551" s="27"/>
      <c r="D551" s="27"/>
      <c r="E551" s="8"/>
      <c r="F551" s="8"/>
      <c r="G551" s="14"/>
      <c r="H551" s="8"/>
      <c r="I551" s="8"/>
      <c r="J551" s="8"/>
      <c r="K551" s="27"/>
      <c r="L551" s="8"/>
      <c r="M551" s="27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27"/>
      <c r="B552" s="27"/>
      <c r="C552" s="27"/>
      <c r="D552" s="27"/>
      <c r="E552" s="8"/>
      <c r="F552" s="8"/>
      <c r="G552" s="14"/>
      <c r="H552" s="8"/>
      <c r="I552" s="8"/>
      <c r="J552" s="8"/>
      <c r="K552" s="27"/>
      <c r="L552" s="8"/>
      <c r="M552" s="27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27"/>
      <c r="B553" s="27"/>
      <c r="C553" s="27"/>
      <c r="D553" s="27"/>
      <c r="E553" s="8"/>
      <c r="F553" s="8"/>
      <c r="G553" s="14"/>
      <c r="H553" s="8"/>
      <c r="I553" s="8"/>
      <c r="J553" s="8"/>
      <c r="K553" s="27"/>
      <c r="L553" s="8"/>
      <c r="M553" s="27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27"/>
      <c r="B554" s="27"/>
      <c r="C554" s="27"/>
      <c r="D554" s="27"/>
      <c r="E554" s="8"/>
      <c r="F554" s="8"/>
      <c r="G554" s="14"/>
      <c r="H554" s="8"/>
      <c r="I554" s="8"/>
      <c r="J554" s="8"/>
      <c r="K554" s="27"/>
      <c r="L554" s="8"/>
      <c r="M554" s="27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27"/>
      <c r="B555" s="27"/>
      <c r="C555" s="27"/>
      <c r="D555" s="27"/>
      <c r="E555" s="8"/>
      <c r="F555" s="8"/>
      <c r="G555" s="14"/>
      <c r="H555" s="8"/>
      <c r="I555" s="8"/>
      <c r="J555" s="8"/>
      <c r="K555" s="27"/>
      <c r="L555" s="8"/>
      <c r="M555" s="27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27"/>
      <c r="B556" s="27"/>
      <c r="C556" s="27"/>
      <c r="D556" s="27"/>
      <c r="E556" s="8"/>
      <c r="F556" s="8"/>
      <c r="G556" s="14"/>
      <c r="H556" s="8"/>
      <c r="I556" s="8"/>
      <c r="J556" s="8"/>
      <c r="K556" s="27"/>
      <c r="L556" s="8"/>
      <c r="M556" s="27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27"/>
      <c r="B557" s="27"/>
      <c r="C557" s="27"/>
      <c r="D557" s="27"/>
      <c r="E557" s="8"/>
      <c r="F557" s="8"/>
      <c r="G557" s="14"/>
      <c r="H557" s="8"/>
      <c r="I557" s="8"/>
      <c r="J557" s="8"/>
      <c r="K557" s="27"/>
      <c r="L557" s="8"/>
      <c r="M557" s="27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27"/>
      <c r="B558" s="27"/>
      <c r="C558" s="27"/>
      <c r="D558" s="27"/>
      <c r="E558" s="8"/>
      <c r="F558" s="8"/>
      <c r="G558" s="14"/>
      <c r="H558" s="8"/>
      <c r="I558" s="8"/>
      <c r="J558" s="8"/>
      <c r="K558" s="27"/>
      <c r="L558" s="8"/>
      <c r="M558" s="27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27"/>
      <c r="B559" s="27"/>
      <c r="C559" s="27"/>
      <c r="D559" s="27"/>
      <c r="E559" s="8"/>
      <c r="F559" s="8"/>
      <c r="G559" s="14"/>
      <c r="H559" s="8"/>
      <c r="I559" s="8"/>
      <c r="J559" s="8"/>
      <c r="K559" s="27"/>
      <c r="L559" s="8"/>
      <c r="M559" s="27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27"/>
      <c r="B560" s="27"/>
      <c r="C560" s="27"/>
      <c r="D560" s="27"/>
      <c r="E560" s="8"/>
      <c r="F560" s="8"/>
      <c r="G560" s="14"/>
      <c r="H560" s="8"/>
      <c r="I560" s="8"/>
      <c r="J560" s="8"/>
      <c r="K560" s="27"/>
      <c r="L560" s="8"/>
      <c r="M560" s="27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27"/>
      <c r="B561" s="27"/>
      <c r="C561" s="27"/>
      <c r="D561" s="27"/>
      <c r="E561" s="8"/>
      <c r="F561" s="8"/>
      <c r="G561" s="14"/>
      <c r="H561" s="8"/>
      <c r="I561" s="8"/>
      <c r="J561" s="8"/>
      <c r="K561" s="27"/>
      <c r="L561" s="8"/>
      <c r="M561" s="27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27"/>
      <c r="B562" s="27"/>
      <c r="C562" s="27"/>
      <c r="D562" s="27"/>
      <c r="E562" s="8"/>
      <c r="F562" s="8"/>
      <c r="G562" s="14"/>
      <c r="H562" s="8"/>
      <c r="I562" s="8"/>
      <c r="J562" s="8"/>
      <c r="K562" s="27"/>
      <c r="L562" s="8"/>
      <c r="M562" s="27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27"/>
      <c r="B563" s="27"/>
      <c r="C563" s="27"/>
      <c r="D563" s="27"/>
      <c r="E563" s="8"/>
      <c r="F563" s="8"/>
      <c r="G563" s="14"/>
      <c r="H563" s="8"/>
      <c r="I563" s="8"/>
      <c r="J563" s="8"/>
      <c r="K563" s="27"/>
      <c r="L563" s="8"/>
      <c r="M563" s="27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27"/>
      <c r="B564" s="27"/>
      <c r="C564" s="27"/>
      <c r="D564" s="27"/>
      <c r="E564" s="8"/>
      <c r="F564" s="8"/>
      <c r="G564" s="14"/>
      <c r="H564" s="8"/>
      <c r="I564" s="8"/>
      <c r="J564" s="8"/>
      <c r="K564" s="27"/>
      <c r="L564" s="8"/>
      <c r="M564" s="27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27"/>
      <c r="B565" s="27"/>
      <c r="C565" s="27"/>
      <c r="D565" s="27"/>
      <c r="E565" s="8"/>
      <c r="F565" s="8"/>
      <c r="G565" s="14"/>
      <c r="H565" s="8"/>
      <c r="I565" s="8"/>
      <c r="J565" s="8"/>
      <c r="K565" s="27"/>
      <c r="L565" s="8"/>
      <c r="M565" s="27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27"/>
      <c r="B566" s="27"/>
      <c r="C566" s="27"/>
      <c r="D566" s="27"/>
      <c r="E566" s="8"/>
      <c r="F566" s="8"/>
      <c r="G566" s="14"/>
      <c r="H566" s="8"/>
      <c r="I566" s="8"/>
      <c r="J566" s="8"/>
      <c r="K566" s="27"/>
      <c r="L566" s="8"/>
      <c r="M566" s="27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27"/>
      <c r="B567" s="27"/>
      <c r="C567" s="27"/>
      <c r="D567" s="27"/>
      <c r="E567" s="8"/>
      <c r="F567" s="8"/>
      <c r="G567" s="14"/>
      <c r="H567" s="8"/>
      <c r="I567" s="8"/>
      <c r="J567" s="8"/>
      <c r="K567" s="27"/>
      <c r="L567" s="8"/>
      <c r="M567" s="27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27"/>
      <c r="B568" s="27"/>
      <c r="C568" s="27"/>
      <c r="D568" s="27"/>
      <c r="E568" s="8"/>
      <c r="F568" s="8"/>
      <c r="G568" s="14"/>
      <c r="H568" s="8"/>
      <c r="I568" s="8"/>
      <c r="J568" s="8"/>
      <c r="K568" s="27"/>
      <c r="L568" s="8"/>
      <c r="M568" s="27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27"/>
      <c r="B569" s="27"/>
      <c r="C569" s="27"/>
      <c r="D569" s="27"/>
      <c r="E569" s="8"/>
      <c r="F569" s="8"/>
      <c r="G569" s="14"/>
      <c r="H569" s="8"/>
      <c r="I569" s="8"/>
      <c r="J569" s="8"/>
      <c r="K569" s="27"/>
      <c r="L569" s="8"/>
      <c r="M569" s="27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27"/>
      <c r="B570" s="27"/>
      <c r="C570" s="27"/>
      <c r="D570" s="27"/>
      <c r="E570" s="8"/>
      <c r="F570" s="8"/>
      <c r="G570" s="14"/>
      <c r="H570" s="8"/>
      <c r="I570" s="8"/>
      <c r="J570" s="8"/>
      <c r="K570" s="27"/>
      <c r="L570" s="8"/>
      <c r="M570" s="27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27"/>
      <c r="B571" s="27"/>
      <c r="C571" s="27"/>
      <c r="D571" s="27"/>
      <c r="E571" s="8"/>
      <c r="F571" s="8"/>
      <c r="G571" s="14"/>
      <c r="H571" s="8"/>
      <c r="I571" s="8"/>
      <c r="J571" s="8"/>
      <c r="K571" s="27"/>
      <c r="L571" s="8"/>
      <c r="M571" s="27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27"/>
      <c r="B572" s="27"/>
      <c r="C572" s="27"/>
      <c r="D572" s="27"/>
      <c r="E572" s="8"/>
      <c r="F572" s="8"/>
      <c r="G572" s="14"/>
      <c r="H572" s="8"/>
      <c r="I572" s="8"/>
      <c r="J572" s="8"/>
      <c r="K572" s="27"/>
      <c r="L572" s="8"/>
      <c r="M572" s="27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27"/>
      <c r="B573" s="27"/>
      <c r="C573" s="27"/>
      <c r="D573" s="27"/>
      <c r="E573" s="8"/>
      <c r="F573" s="8"/>
      <c r="G573" s="14"/>
      <c r="H573" s="8"/>
      <c r="I573" s="8"/>
      <c r="J573" s="8"/>
      <c r="K573" s="27"/>
      <c r="L573" s="8"/>
      <c r="M573" s="27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27"/>
      <c r="B574" s="27"/>
      <c r="C574" s="27"/>
      <c r="D574" s="27"/>
      <c r="E574" s="8"/>
      <c r="F574" s="8"/>
      <c r="G574" s="14"/>
      <c r="H574" s="8"/>
      <c r="I574" s="8"/>
      <c r="J574" s="8"/>
      <c r="K574" s="27"/>
      <c r="L574" s="8"/>
      <c r="M574" s="27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27"/>
      <c r="B575" s="27"/>
      <c r="C575" s="27"/>
      <c r="D575" s="27"/>
      <c r="E575" s="8"/>
      <c r="F575" s="8"/>
      <c r="G575" s="14"/>
      <c r="H575" s="8"/>
      <c r="I575" s="8"/>
      <c r="J575" s="8"/>
      <c r="K575" s="27"/>
      <c r="L575" s="8"/>
      <c r="M575" s="27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27"/>
      <c r="B576" s="27"/>
      <c r="C576" s="27"/>
      <c r="D576" s="27"/>
      <c r="E576" s="8"/>
      <c r="F576" s="8"/>
      <c r="G576" s="14"/>
      <c r="H576" s="8"/>
      <c r="I576" s="8"/>
      <c r="J576" s="8"/>
      <c r="K576" s="27"/>
      <c r="L576" s="8"/>
      <c r="M576" s="27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27"/>
      <c r="B577" s="27"/>
      <c r="C577" s="27"/>
      <c r="D577" s="27"/>
      <c r="E577" s="8"/>
      <c r="F577" s="8"/>
      <c r="G577" s="14"/>
      <c r="H577" s="8"/>
      <c r="I577" s="8"/>
      <c r="J577" s="8"/>
      <c r="K577" s="27"/>
      <c r="L577" s="8"/>
      <c r="M577" s="27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27"/>
      <c r="B578" s="27"/>
      <c r="C578" s="27"/>
      <c r="D578" s="27"/>
      <c r="E578" s="8"/>
      <c r="F578" s="8"/>
      <c r="G578" s="14"/>
      <c r="H578" s="8"/>
      <c r="I578" s="8"/>
      <c r="J578" s="8"/>
      <c r="K578" s="27"/>
      <c r="L578" s="8"/>
      <c r="M578" s="27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27"/>
      <c r="B579" s="27"/>
      <c r="C579" s="27"/>
      <c r="D579" s="27"/>
      <c r="E579" s="8"/>
      <c r="F579" s="8"/>
      <c r="G579" s="14"/>
      <c r="H579" s="8"/>
      <c r="I579" s="8"/>
      <c r="J579" s="8"/>
      <c r="K579" s="27"/>
      <c r="L579" s="8"/>
      <c r="M579" s="27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27"/>
      <c r="B580" s="27"/>
      <c r="C580" s="27"/>
      <c r="D580" s="27"/>
      <c r="E580" s="8"/>
      <c r="F580" s="8"/>
      <c r="G580" s="14"/>
      <c r="H580" s="8"/>
      <c r="I580" s="8"/>
      <c r="J580" s="8"/>
      <c r="K580" s="27"/>
      <c r="L580" s="8"/>
      <c r="M580" s="27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27"/>
      <c r="B581" s="27"/>
      <c r="C581" s="27"/>
      <c r="D581" s="27"/>
      <c r="E581" s="8"/>
      <c r="F581" s="8"/>
      <c r="G581" s="14"/>
      <c r="H581" s="8"/>
      <c r="I581" s="8"/>
      <c r="J581" s="8"/>
      <c r="K581" s="27"/>
      <c r="L581" s="8"/>
      <c r="M581" s="27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27"/>
      <c r="B582" s="27"/>
      <c r="C582" s="27"/>
      <c r="D582" s="27"/>
      <c r="E582" s="8"/>
      <c r="F582" s="8"/>
      <c r="G582" s="14"/>
      <c r="H582" s="8"/>
      <c r="I582" s="8"/>
      <c r="J582" s="8"/>
      <c r="K582" s="27"/>
      <c r="L582" s="8"/>
      <c r="M582" s="27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27"/>
      <c r="B583" s="27"/>
      <c r="C583" s="27"/>
      <c r="D583" s="27"/>
      <c r="E583" s="8"/>
      <c r="F583" s="8"/>
      <c r="G583" s="14"/>
      <c r="H583" s="8"/>
      <c r="I583" s="8"/>
      <c r="J583" s="8"/>
      <c r="K583" s="27"/>
      <c r="L583" s="8"/>
      <c r="M583" s="27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27"/>
      <c r="B584" s="27"/>
      <c r="C584" s="27"/>
      <c r="D584" s="27"/>
      <c r="E584" s="8"/>
      <c r="F584" s="8"/>
      <c r="G584" s="14"/>
      <c r="H584" s="8"/>
      <c r="I584" s="8"/>
      <c r="J584" s="8"/>
      <c r="K584" s="27"/>
      <c r="L584" s="8"/>
      <c r="M584" s="27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27"/>
      <c r="B585" s="27"/>
      <c r="C585" s="27"/>
      <c r="D585" s="27"/>
      <c r="E585" s="8"/>
      <c r="F585" s="8"/>
      <c r="G585" s="14"/>
      <c r="H585" s="8"/>
      <c r="I585" s="8"/>
      <c r="J585" s="8"/>
      <c r="K585" s="27"/>
      <c r="L585" s="8"/>
      <c r="M585" s="27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27"/>
      <c r="B586" s="27"/>
      <c r="C586" s="27"/>
      <c r="D586" s="27"/>
      <c r="E586" s="8"/>
      <c r="F586" s="8"/>
      <c r="G586" s="14"/>
      <c r="H586" s="8"/>
      <c r="I586" s="8"/>
      <c r="J586" s="8"/>
      <c r="K586" s="27"/>
      <c r="L586" s="8"/>
      <c r="M586" s="27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27"/>
      <c r="B587" s="27"/>
      <c r="C587" s="27"/>
      <c r="D587" s="27"/>
      <c r="E587" s="8"/>
      <c r="F587" s="8"/>
      <c r="G587" s="14"/>
      <c r="H587" s="8"/>
      <c r="I587" s="8"/>
      <c r="J587" s="8"/>
      <c r="K587" s="27"/>
      <c r="L587" s="8"/>
      <c r="M587" s="27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27"/>
      <c r="B588" s="27"/>
      <c r="C588" s="27"/>
      <c r="D588" s="27"/>
      <c r="E588" s="8"/>
      <c r="F588" s="8"/>
      <c r="G588" s="14"/>
      <c r="H588" s="8"/>
      <c r="I588" s="8"/>
      <c r="J588" s="8"/>
      <c r="K588" s="27"/>
      <c r="L588" s="8"/>
      <c r="M588" s="27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27"/>
      <c r="B589" s="27"/>
      <c r="C589" s="27"/>
      <c r="D589" s="27"/>
      <c r="E589" s="8"/>
      <c r="F589" s="8"/>
      <c r="G589" s="14"/>
      <c r="H589" s="8"/>
      <c r="I589" s="8"/>
      <c r="J589" s="8"/>
      <c r="K589" s="27"/>
      <c r="L589" s="8"/>
      <c r="M589" s="27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27"/>
      <c r="B590" s="27"/>
      <c r="C590" s="27"/>
      <c r="D590" s="27"/>
      <c r="E590" s="8"/>
      <c r="F590" s="8"/>
      <c r="G590" s="14"/>
      <c r="H590" s="8"/>
      <c r="I590" s="8"/>
      <c r="J590" s="8"/>
      <c r="K590" s="27"/>
      <c r="L590" s="8"/>
      <c r="M590" s="27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27"/>
      <c r="B591" s="27"/>
      <c r="C591" s="27"/>
      <c r="D591" s="27"/>
      <c r="E591" s="8"/>
      <c r="F591" s="8"/>
      <c r="G591" s="14"/>
      <c r="H591" s="8"/>
      <c r="I591" s="8"/>
      <c r="J591" s="8"/>
      <c r="K591" s="27"/>
      <c r="L591" s="8"/>
      <c r="M591" s="27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27"/>
      <c r="B592" s="27"/>
      <c r="C592" s="27"/>
      <c r="D592" s="27"/>
      <c r="E592" s="8"/>
      <c r="F592" s="8"/>
      <c r="G592" s="14"/>
      <c r="H592" s="8"/>
      <c r="I592" s="8"/>
      <c r="J592" s="8"/>
      <c r="K592" s="27"/>
      <c r="L592" s="8"/>
      <c r="M592" s="27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27"/>
      <c r="B593" s="27"/>
      <c r="C593" s="27"/>
      <c r="D593" s="27"/>
      <c r="E593" s="8"/>
      <c r="F593" s="8"/>
      <c r="G593" s="14"/>
      <c r="H593" s="8"/>
      <c r="I593" s="8"/>
      <c r="J593" s="8"/>
      <c r="K593" s="27"/>
      <c r="L593" s="8"/>
      <c r="M593" s="27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27"/>
      <c r="B594" s="27"/>
      <c r="C594" s="27"/>
      <c r="D594" s="27"/>
      <c r="E594" s="8"/>
      <c r="F594" s="8"/>
      <c r="G594" s="14"/>
      <c r="H594" s="8"/>
      <c r="I594" s="8"/>
      <c r="J594" s="8"/>
      <c r="K594" s="27"/>
      <c r="L594" s="8"/>
      <c r="M594" s="27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27"/>
      <c r="B595" s="27"/>
      <c r="C595" s="27"/>
      <c r="D595" s="27"/>
      <c r="E595" s="8"/>
      <c r="F595" s="8"/>
      <c r="G595" s="14"/>
      <c r="H595" s="8"/>
      <c r="I595" s="8"/>
      <c r="J595" s="8"/>
      <c r="K595" s="27"/>
      <c r="L595" s="8"/>
      <c r="M595" s="27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27"/>
      <c r="B596" s="27"/>
      <c r="C596" s="27"/>
      <c r="D596" s="27"/>
      <c r="E596" s="8"/>
      <c r="F596" s="8"/>
      <c r="G596" s="14"/>
      <c r="H596" s="8"/>
      <c r="I596" s="8"/>
      <c r="J596" s="8"/>
      <c r="K596" s="27"/>
      <c r="L596" s="8"/>
      <c r="M596" s="27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27"/>
      <c r="B597" s="27"/>
      <c r="C597" s="27"/>
      <c r="D597" s="27"/>
      <c r="E597" s="8"/>
      <c r="F597" s="8"/>
      <c r="G597" s="14"/>
      <c r="H597" s="8"/>
      <c r="I597" s="8"/>
      <c r="J597" s="8"/>
      <c r="K597" s="27"/>
      <c r="L597" s="8"/>
      <c r="M597" s="27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27"/>
      <c r="B598" s="27"/>
      <c r="C598" s="27"/>
      <c r="D598" s="27"/>
      <c r="E598" s="8"/>
      <c r="F598" s="8"/>
      <c r="G598" s="14"/>
      <c r="H598" s="8"/>
      <c r="I598" s="8"/>
      <c r="J598" s="8"/>
      <c r="K598" s="27"/>
      <c r="L598" s="8"/>
      <c r="M598" s="27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27"/>
      <c r="B599" s="27"/>
      <c r="C599" s="27"/>
      <c r="D599" s="27"/>
      <c r="E599" s="8"/>
      <c r="F599" s="8"/>
      <c r="G599" s="14"/>
      <c r="H599" s="8"/>
      <c r="I599" s="8"/>
      <c r="J599" s="8"/>
      <c r="K599" s="27"/>
      <c r="L599" s="8"/>
      <c r="M599" s="27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27"/>
      <c r="B600" s="27"/>
      <c r="C600" s="27"/>
      <c r="D600" s="27"/>
      <c r="E600" s="8"/>
      <c r="F600" s="8"/>
      <c r="G600" s="14"/>
      <c r="H600" s="8"/>
      <c r="I600" s="8"/>
      <c r="J600" s="8"/>
      <c r="K600" s="27"/>
      <c r="L600" s="8"/>
      <c r="M600" s="27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27"/>
      <c r="B601" s="27"/>
      <c r="C601" s="27"/>
      <c r="D601" s="27"/>
      <c r="E601" s="8"/>
      <c r="F601" s="8"/>
      <c r="G601" s="14"/>
      <c r="H601" s="8"/>
      <c r="I601" s="8"/>
      <c r="J601" s="8"/>
      <c r="K601" s="27"/>
      <c r="L601" s="8"/>
      <c r="M601" s="27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27"/>
      <c r="B602" s="27"/>
      <c r="C602" s="27"/>
      <c r="D602" s="27"/>
      <c r="E602" s="8"/>
      <c r="F602" s="8"/>
      <c r="G602" s="14"/>
      <c r="H602" s="8"/>
      <c r="I602" s="8"/>
      <c r="J602" s="8"/>
      <c r="K602" s="27"/>
      <c r="L602" s="8"/>
      <c r="M602" s="27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27"/>
      <c r="B603" s="27"/>
      <c r="C603" s="27"/>
      <c r="D603" s="27"/>
      <c r="E603" s="8"/>
      <c r="F603" s="8"/>
      <c r="G603" s="14"/>
      <c r="H603" s="8"/>
      <c r="I603" s="8"/>
      <c r="J603" s="8"/>
      <c r="K603" s="27"/>
      <c r="L603" s="8"/>
      <c r="M603" s="27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27"/>
      <c r="B604" s="27"/>
      <c r="C604" s="27"/>
      <c r="D604" s="27"/>
      <c r="E604" s="8"/>
      <c r="F604" s="8"/>
      <c r="G604" s="14"/>
      <c r="H604" s="8"/>
      <c r="I604" s="8"/>
      <c r="J604" s="8"/>
      <c r="K604" s="27"/>
      <c r="L604" s="8"/>
      <c r="M604" s="27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27"/>
      <c r="B605" s="27"/>
      <c r="C605" s="27"/>
      <c r="D605" s="27"/>
      <c r="E605" s="8"/>
      <c r="F605" s="8"/>
      <c r="G605" s="14"/>
      <c r="H605" s="8"/>
      <c r="I605" s="8"/>
      <c r="J605" s="8"/>
      <c r="K605" s="27"/>
      <c r="L605" s="8"/>
      <c r="M605" s="27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27"/>
      <c r="B606" s="27"/>
      <c r="C606" s="27"/>
      <c r="D606" s="27"/>
      <c r="E606" s="8"/>
      <c r="F606" s="8"/>
      <c r="G606" s="14"/>
      <c r="H606" s="8"/>
      <c r="I606" s="8"/>
      <c r="J606" s="8"/>
      <c r="K606" s="27"/>
      <c r="L606" s="8"/>
      <c r="M606" s="27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27"/>
      <c r="B607" s="27"/>
      <c r="C607" s="27"/>
      <c r="D607" s="27"/>
      <c r="E607" s="8"/>
      <c r="F607" s="8"/>
      <c r="G607" s="14"/>
      <c r="H607" s="8"/>
      <c r="I607" s="8"/>
      <c r="J607" s="8"/>
      <c r="K607" s="27"/>
      <c r="L607" s="8"/>
      <c r="M607" s="27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27"/>
      <c r="B608" s="27"/>
      <c r="C608" s="27"/>
      <c r="D608" s="27"/>
      <c r="E608" s="8"/>
      <c r="F608" s="8"/>
      <c r="G608" s="14"/>
      <c r="H608" s="8"/>
      <c r="I608" s="8"/>
      <c r="J608" s="8"/>
      <c r="K608" s="27"/>
      <c r="L608" s="8"/>
      <c r="M608" s="27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27"/>
      <c r="B609" s="27"/>
      <c r="C609" s="27"/>
      <c r="D609" s="27"/>
      <c r="E609" s="8"/>
      <c r="F609" s="8"/>
      <c r="G609" s="14"/>
      <c r="H609" s="8"/>
      <c r="I609" s="8"/>
      <c r="J609" s="8"/>
      <c r="K609" s="27"/>
      <c r="L609" s="8"/>
      <c r="M609" s="27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27"/>
      <c r="B610" s="27"/>
      <c r="C610" s="27"/>
      <c r="D610" s="27"/>
      <c r="E610" s="8"/>
      <c r="F610" s="8"/>
      <c r="G610" s="14"/>
      <c r="H610" s="8"/>
      <c r="I610" s="8"/>
      <c r="J610" s="8"/>
      <c r="K610" s="27"/>
      <c r="L610" s="8"/>
      <c r="M610" s="27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27"/>
      <c r="B611" s="27"/>
      <c r="C611" s="27"/>
      <c r="D611" s="27"/>
      <c r="E611" s="8"/>
      <c r="F611" s="8"/>
      <c r="G611" s="14"/>
      <c r="H611" s="8"/>
      <c r="I611" s="8"/>
      <c r="J611" s="8"/>
      <c r="K611" s="27"/>
      <c r="L611" s="8"/>
      <c r="M611" s="27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27"/>
      <c r="B612" s="27"/>
      <c r="C612" s="27"/>
      <c r="D612" s="27"/>
      <c r="E612" s="8"/>
      <c r="F612" s="8"/>
      <c r="G612" s="14"/>
      <c r="H612" s="8"/>
      <c r="I612" s="8"/>
      <c r="J612" s="8"/>
      <c r="K612" s="27"/>
      <c r="L612" s="8"/>
      <c r="M612" s="27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27"/>
      <c r="B613" s="27"/>
      <c r="C613" s="27"/>
      <c r="D613" s="27"/>
      <c r="E613" s="8"/>
      <c r="F613" s="8"/>
      <c r="G613" s="14"/>
      <c r="H613" s="8"/>
      <c r="I613" s="8"/>
      <c r="J613" s="8"/>
      <c r="K613" s="27"/>
      <c r="L613" s="8"/>
      <c r="M613" s="27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27"/>
      <c r="B614" s="27"/>
      <c r="C614" s="27"/>
      <c r="D614" s="27"/>
      <c r="E614" s="8"/>
      <c r="F614" s="8"/>
      <c r="G614" s="14"/>
      <c r="H614" s="8"/>
      <c r="I614" s="8"/>
      <c r="J614" s="8"/>
      <c r="K614" s="27"/>
      <c r="L614" s="8"/>
      <c r="M614" s="27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27"/>
      <c r="B615" s="27"/>
      <c r="C615" s="27"/>
      <c r="D615" s="27"/>
      <c r="E615" s="8"/>
      <c r="F615" s="8"/>
      <c r="G615" s="14"/>
      <c r="H615" s="8"/>
      <c r="I615" s="8"/>
      <c r="J615" s="8"/>
      <c r="K615" s="27"/>
      <c r="L615" s="8"/>
      <c r="M615" s="27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27"/>
      <c r="B616" s="27"/>
      <c r="C616" s="27"/>
      <c r="D616" s="27"/>
      <c r="E616" s="8"/>
      <c r="F616" s="8"/>
      <c r="G616" s="14"/>
      <c r="H616" s="8"/>
      <c r="I616" s="8"/>
      <c r="J616" s="8"/>
      <c r="K616" s="27"/>
      <c r="L616" s="8"/>
      <c r="M616" s="27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27"/>
      <c r="B617" s="27"/>
      <c r="C617" s="27"/>
      <c r="D617" s="27"/>
      <c r="E617" s="8"/>
      <c r="F617" s="8"/>
      <c r="G617" s="14"/>
      <c r="H617" s="8"/>
      <c r="I617" s="8"/>
      <c r="J617" s="8"/>
      <c r="K617" s="27"/>
      <c r="L617" s="8"/>
      <c r="M617" s="27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27"/>
      <c r="B618" s="27"/>
      <c r="C618" s="27"/>
      <c r="D618" s="27"/>
      <c r="E618" s="8"/>
      <c r="F618" s="8"/>
      <c r="G618" s="14"/>
      <c r="H618" s="8"/>
      <c r="I618" s="8"/>
      <c r="J618" s="8"/>
      <c r="K618" s="27"/>
      <c r="L618" s="8"/>
      <c r="M618" s="27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27"/>
      <c r="B619" s="27"/>
      <c r="C619" s="27"/>
      <c r="D619" s="27"/>
      <c r="E619" s="8"/>
      <c r="F619" s="8"/>
      <c r="G619" s="14"/>
      <c r="H619" s="8"/>
      <c r="I619" s="8"/>
      <c r="J619" s="8"/>
      <c r="K619" s="27"/>
      <c r="L619" s="8"/>
      <c r="M619" s="27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27"/>
      <c r="B620" s="27"/>
      <c r="C620" s="27"/>
      <c r="D620" s="27"/>
      <c r="E620" s="8"/>
      <c r="F620" s="8"/>
      <c r="G620" s="14"/>
      <c r="H620" s="8"/>
      <c r="I620" s="8"/>
      <c r="J620" s="8"/>
      <c r="K620" s="27"/>
      <c r="L620" s="8"/>
      <c r="M620" s="27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27"/>
      <c r="B621" s="27"/>
      <c r="C621" s="27"/>
      <c r="D621" s="27"/>
      <c r="E621" s="8"/>
      <c r="F621" s="8"/>
      <c r="G621" s="14"/>
      <c r="H621" s="8"/>
      <c r="I621" s="8"/>
      <c r="J621" s="8"/>
      <c r="K621" s="27"/>
      <c r="L621" s="8"/>
      <c r="M621" s="27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27"/>
      <c r="B622" s="27"/>
      <c r="C622" s="27"/>
      <c r="D622" s="27"/>
      <c r="E622" s="8"/>
      <c r="F622" s="8"/>
      <c r="G622" s="14"/>
      <c r="H622" s="8"/>
      <c r="I622" s="8"/>
      <c r="J622" s="8"/>
      <c r="K622" s="27"/>
      <c r="L622" s="8"/>
      <c r="M622" s="27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27"/>
      <c r="B623" s="27"/>
      <c r="C623" s="27"/>
      <c r="D623" s="27"/>
      <c r="E623" s="8"/>
      <c r="F623" s="8"/>
      <c r="G623" s="14"/>
      <c r="H623" s="8"/>
      <c r="I623" s="8"/>
      <c r="J623" s="8"/>
      <c r="K623" s="27"/>
      <c r="L623" s="8"/>
      <c r="M623" s="27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27"/>
      <c r="B624" s="27"/>
      <c r="C624" s="27"/>
      <c r="D624" s="27"/>
      <c r="E624" s="8"/>
      <c r="F624" s="8"/>
      <c r="G624" s="14"/>
      <c r="H624" s="8"/>
      <c r="I624" s="8"/>
      <c r="J624" s="8"/>
      <c r="K624" s="27"/>
      <c r="L624" s="8"/>
      <c r="M624" s="27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27"/>
      <c r="B625" s="27"/>
      <c r="C625" s="27"/>
      <c r="D625" s="27"/>
      <c r="E625" s="8"/>
      <c r="F625" s="8"/>
      <c r="G625" s="14"/>
      <c r="H625" s="8"/>
      <c r="I625" s="8"/>
      <c r="J625" s="8"/>
      <c r="K625" s="27"/>
      <c r="L625" s="8"/>
      <c r="M625" s="27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27"/>
      <c r="B626" s="27"/>
      <c r="C626" s="27"/>
      <c r="D626" s="27"/>
      <c r="E626" s="8"/>
      <c r="F626" s="8"/>
      <c r="G626" s="14"/>
      <c r="H626" s="8"/>
      <c r="I626" s="8"/>
      <c r="J626" s="8"/>
      <c r="K626" s="27"/>
      <c r="L626" s="8"/>
      <c r="M626" s="27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27"/>
      <c r="B627" s="27"/>
      <c r="C627" s="27"/>
      <c r="D627" s="27"/>
      <c r="E627" s="8"/>
      <c r="F627" s="8"/>
      <c r="G627" s="14"/>
      <c r="H627" s="8"/>
      <c r="I627" s="8"/>
      <c r="J627" s="8"/>
      <c r="K627" s="27"/>
      <c r="L627" s="8"/>
      <c r="M627" s="27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27"/>
      <c r="B628" s="27"/>
      <c r="C628" s="27"/>
      <c r="D628" s="27"/>
      <c r="E628" s="8"/>
      <c r="F628" s="8"/>
      <c r="G628" s="14"/>
      <c r="H628" s="8"/>
      <c r="I628" s="8"/>
      <c r="J628" s="8"/>
      <c r="K628" s="27"/>
      <c r="L628" s="8"/>
      <c r="M628" s="27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27"/>
      <c r="B629" s="27"/>
      <c r="C629" s="27"/>
      <c r="D629" s="27"/>
      <c r="E629" s="8"/>
      <c r="F629" s="8"/>
      <c r="G629" s="14"/>
      <c r="H629" s="8"/>
      <c r="I629" s="8"/>
      <c r="J629" s="8"/>
      <c r="K629" s="27"/>
      <c r="L629" s="8"/>
      <c r="M629" s="27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27"/>
      <c r="B630" s="27"/>
      <c r="C630" s="27"/>
      <c r="D630" s="27"/>
      <c r="E630" s="8"/>
      <c r="F630" s="8"/>
      <c r="G630" s="14"/>
      <c r="H630" s="8"/>
      <c r="I630" s="8"/>
      <c r="J630" s="8"/>
      <c r="K630" s="27"/>
      <c r="L630" s="8"/>
      <c r="M630" s="27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27"/>
      <c r="B631" s="27"/>
      <c r="C631" s="27"/>
      <c r="D631" s="27"/>
      <c r="E631" s="8"/>
      <c r="F631" s="8"/>
      <c r="G631" s="14"/>
      <c r="H631" s="8"/>
      <c r="I631" s="8"/>
      <c r="J631" s="8"/>
      <c r="K631" s="27"/>
      <c r="L631" s="8"/>
      <c r="M631" s="27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27"/>
      <c r="B632" s="27"/>
      <c r="C632" s="27"/>
      <c r="D632" s="27"/>
      <c r="E632" s="8"/>
      <c r="F632" s="8"/>
      <c r="G632" s="14"/>
      <c r="H632" s="8"/>
      <c r="I632" s="8"/>
      <c r="J632" s="8"/>
      <c r="K632" s="27"/>
      <c r="L632" s="8"/>
      <c r="M632" s="27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27"/>
      <c r="B633" s="27"/>
      <c r="C633" s="27"/>
      <c r="D633" s="27"/>
      <c r="E633" s="8"/>
      <c r="F633" s="8"/>
      <c r="G633" s="14"/>
      <c r="H633" s="8"/>
      <c r="I633" s="8"/>
      <c r="J633" s="8"/>
      <c r="K633" s="27"/>
      <c r="L633" s="8"/>
      <c r="M633" s="27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27"/>
      <c r="B634" s="27"/>
      <c r="C634" s="27"/>
      <c r="D634" s="27"/>
      <c r="E634" s="8"/>
      <c r="F634" s="8"/>
      <c r="G634" s="14"/>
      <c r="H634" s="8"/>
      <c r="I634" s="8"/>
      <c r="J634" s="8"/>
      <c r="K634" s="27"/>
      <c r="L634" s="8"/>
      <c r="M634" s="27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27"/>
      <c r="B635" s="27"/>
      <c r="C635" s="27"/>
      <c r="D635" s="27"/>
      <c r="E635" s="8"/>
      <c r="F635" s="8"/>
      <c r="G635" s="14"/>
      <c r="H635" s="8"/>
      <c r="I635" s="8"/>
      <c r="J635" s="8"/>
      <c r="K635" s="27"/>
      <c r="L635" s="8"/>
      <c r="M635" s="27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27"/>
      <c r="B636" s="27"/>
      <c r="C636" s="27"/>
      <c r="D636" s="27"/>
      <c r="E636" s="8"/>
      <c r="F636" s="8"/>
      <c r="G636" s="14"/>
      <c r="H636" s="8"/>
      <c r="I636" s="8"/>
      <c r="J636" s="8"/>
      <c r="K636" s="27"/>
      <c r="L636" s="8"/>
      <c r="M636" s="27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27"/>
      <c r="B637" s="27"/>
      <c r="C637" s="27"/>
      <c r="D637" s="27"/>
      <c r="E637" s="8"/>
      <c r="F637" s="8"/>
      <c r="G637" s="14"/>
      <c r="H637" s="8"/>
      <c r="I637" s="8"/>
      <c r="J637" s="8"/>
      <c r="K637" s="27"/>
      <c r="L637" s="8"/>
      <c r="M637" s="27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27"/>
      <c r="B638" s="27"/>
      <c r="C638" s="27"/>
      <c r="D638" s="27"/>
      <c r="E638" s="8"/>
      <c r="F638" s="8"/>
      <c r="G638" s="14"/>
      <c r="H638" s="8"/>
      <c r="I638" s="8"/>
      <c r="J638" s="8"/>
      <c r="K638" s="27"/>
      <c r="L638" s="8"/>
      <c r="M638" s="27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27"/>
      <c r="B639" s="27"/>
      <c r="C639" s="27"/>
      <c r="D639" s="27"/>
      <c r="E639" s="8"/>
      <c r="F639" s="8"/>
      <c r="G639" s="14"/>
      <c r="H639" s="8"/>
      <c r="I639" s="8"/>
      <c r="J639" s="8"/>
      <c r="K639" s="27"/>
      <c r="L639" s="8"/>
      <c r="M639" s="27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27"/>
      <c r="B640" s="27"/>
      <c r="C640" s="27"/>
      <c r="D640" s="27"/>
      <c r="E640" s="8"/>
      <c r="F640" s="8"/>
      <c r="G640" s="14"/>
      <c r="H640" s="8"/>
      <c r="I640" s="8"/>
      <c r="J640" s="8"/>
      <c r="K640" s="27"/>
      <c r="L640" s="8"/>
      <c r="M640" s="27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27"/>
      <c r="B641" s="27"/>
      <c r="C641" s="27"/>
      <c r="D641" s="27"/>
      <c r="E641" s="8"/>
      <c r="F641" s="8"/>
      <c r="G641" s="14"/>
      <c r="H641" s="8"/>
      <c r="I641" s="8"/>
      <c r="J641" s="8"/>
      <c r="K641" s="27"/>
      <c r="L641" s="8"/>
      <c r="M641" s="27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27"/>
      <c r="B642" s="27"/>
      <c r="C642" s="27"/>
      <c r="D642" s="27"/>
      <c r="E642" s="8"/>
      <c r="F642" s="8"/>
      <c r="G642" s="14"/>
      <c r="H642" s="8"/>
      <c r="I642" s="8"/>
      <c r="J642" s="8"/>
      <c r="K642" s="27"/>
      <c r="L642" s="8"/>
      <c r="M642" s="27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27"/>
      <c r="B643" s="27"/>
      <c r="C643" s="27"/>
      <c r="D643" s="27"/>
      <c r="E643" s="8"/>
      <c r="F643" s="8"/>
      <c r="G643" s="14"/>
      <c r="H643" s="8"/>
      <c r="I643" s="8"/>
      <c r="J643" s="8"/>
      <c r="K643" s="27"/>
      <c r="L643" s="8"/>
      <c r="M643" s="27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27"/>
      <c r="B644" s="27"/>
      <c r="C644" s="27"/>
      <c r="D644" s="27"/>
      <c r="E644" s="8"/>
      <c r="F644" s="8"/>
      <c r="G644" s="14"/>
      <c r="H644" s="8"/>
      <c r="I644" s="8"/>
      <c r="J644" s="8"/>
      <c r="K644" s="27"/>
      <c r="L644" s="8"/>
      <c r="M644" s="27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27"/>
      <c r="B645" s="27"/>
      <c r="C645" s="27"/>
      <c r="D645" s="27"/>
      <c r="E645" s="8"/>
      <c r="F645" s="8"/>
      <c r="G645" s="14"/>
      <c r="H645" s="8"/>
      <c r="I645" s="8"/>
      <c r="J645" s="8"/>
      <c r="K645" s="27"/>
      <c r="L645" s="8"/>
      <c r="M645" s="27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27"/>
      <c r="B646" s="27"/>
      <c r="C646" s="27"/>
      <c r="D646" s="27"/>
      <c r="E646" s="8"/>
      <c r="F646" s="8"/>
      <c r="G646" s="14"/>
      <c r="H646" s="8"/>
      <c r="I646" s="8"/>
      <c r="J646" s="8"/>
      <c r="K646" s="27"/>
      <c r="L646" s="8"/>
      <c r="M646" s="27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27"/>
      <c r="B647" s="27"/>
      <c r="C647" s="27"/>
      <c r="D647" s="27"/>
      <c r="E647" s="8"/>
      <c r="F647" s="8"/>
      <c r="G647" s="14"/>
      <c r="H647" s="8"/>
      <c r="I647" s="8"/>
      <c r="J647" s="8"/>
      <c r="K647" s="27"/>
      <c r="L647" s="8"/>
      <c r="M647" s="27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27"/>
      <c r="B648" s="27"/>
      <c r="C648" s="27"/>
      <c r="D648" s="27"/>
      <c r="E648" s="8"/>
      <c r="F648" s="8"/>
      <c r="G648" s="14"/>
      <c r="H648" s="8"/>
      <c r="I648" s="8"/>
      <c r="J648" s="8"/>
      <c r="K648" s="27"/>
      <c r="L648" s="8"/>
      <c r="M648" s="27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27"/>
      <c r="B649" s="27"/>
      <c r="C649" s="27"/>
      <c r="D649" s="27"/>
      <c r="E649" s="8"/>
      <c r="F649" s="8"/>
      <c r="G649" s="14"/>
      <c r="H649" s="8"/>
      <c r="I649" s="8"/>
      <c r="J649" s="8"/>
      <c r="K649" s="27"/>
      <c r="L649" s="8"/>
      <c r="M649" s="27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27"/>
      <c r="B650" s="27"/>
      <c r="C650" s="27"/>
      <c r="D650" s="27"/>
      <c r="E650" s="8"/>
      <c r="F650" s="8"/>
      <c r="G650" s="14"/>
      <c r="H650" s="8"/>
      <c r="I650" s="8"/>
      <c r="J650" s="8"/>
      <c r="K650" s="27"/>
      <c r="L650" s="8"/>
      <c r="M650" s="27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27"/>
      <c r="B651" s="27"/>
      <c r="C651" s="27"/>
      <c r="D651" s="27"/>
      <c r="E651" s="8"/>
      <c r="F651" s="8"/>
      <c r="G651" s="14"/>
      <c r="H651" s="8"/>
      <c r="I651" s="8"/>
      <c r="J651" s="8"/>
      <c r="K651" s="27"/>
      <c r="L651" s="8"/>
      <c r="M651" s="27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27"/>
      <c r="B652" s="27"/>
      <c r="C652" s="27"/>
      <c r="D652" s="27"/>
      <c r="E652" s="8"/>
      <c r="F652" s="8"/>
      <c r="G652" s="14"/>
      <c r="H652" s="8"/>
      <c r="I652" s="8"/>
      <c r="J652" s="8"/>
      <c r="K652" s="27"/>
      <c r="L652" s="8"/>
      <c r="M652" s="27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27"/>
      <c r="B653" s="27"/>
      <c r="C653" s="27"/>
      <c r="D653" s="27"/>
      <c r="E653" s="8"/>
      <c r="F653" s="8"/>
      <c r="G653" s="14"/>
      <c r="H653" s="8"/>
      <c r="I653" s="8"/>
      <c r="J653" s="8"/>
      <c r="K653" s="27"/>
      <c r="L653" s="8"/>
      <c r="M653" s="27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27"/>
      <c r="B654" s="27"/>
      <c r="C654" s="27"/>
      <c r="D654" s="27"/>
      <c r="E654" s="8"/>
      <c r="F654" s="8"/>
      <c r="G654" s="14"/>
      <c r="H654" s="8"/>
      <c r="I654" s="8"/>
      <c r="J654" s="8"/>
      <c r="K654" s="27"/>
      <c r="L654" s="8"/>
      <c r="M654" s="27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27"/>
      <c r="B655" s="27"/>
      <c r="C655" s="27"/>
      <c r="D655" s="27"/>
      <c r="E655" s="8"/>
      <c r="F655" s="8"/>
      <c r="G655" s="14"/>
      <c r="H655" s="8"/>
      <c r="I655" s="8"/>
      <c r="J655" s="8"/>
      <c r="K655" s="27"/>
      <c r="L655" s="8"/>
      <c r="M655" s="27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27"/>
      <c r="B656" s="27"/>
      <c r="C656" s="27"/>
      <c r="D656" s="27"/>
      <c r="E656" s="8"/>
      <c r="F656" s="8"/>
      <c r="G656" s="14"/>
      <c r="H656" s="8"/>
      <c r="I656" s="8"/>
      <c r="J656" s="8"/>
      <c r="K656" s="27"/>
      <c r="L656" s="8"/>
      <c r="M656" s="27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27"/>
      <c r="B657" s="27"/>
      <c r="C657" s="27"/>
      <c r="D657" s="27"/>
      <c r="E657" s="8"/>
      <c r="F657" s="8"/>
      <c r="G657" s="14"/>
      <c r="H657" s="8"/>
      <c r="I657" s="8"/>
      <c r="J657" s="8"/>
      <c r="K657" s="27"/>
      <c r="L657" s="8"/>
      <c r="M657" s="27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27"/>
      <c r="B658" s="27"/>
      <c r="C658" s="27"/>
      <c r="D658" s="27"/>
      <c r="E658" s="8"/>
      <c r="F658" s="8"/>
      <c r="G658" s="14"/>
      <c r="H658" s="8"/>
      <c r="I658" s="8"/>
      <c r="J658" s="8"/>
      <c r="K658" s="27"/>
      <c r="L658" s="8"/>
      <c r="M658" s="27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27"/>
      <c r="B659" s="27"/>
      <c r="C659" s="27"/>
      <c r="D659" s="27"/>
      <c r="E659" s="8"/>
      <c r="F659" s="8"/>
      <c r="G659" s="14"/>
      <c r="H659" s="8"/>
      <c r="I659" s="8"/>
      <c r="J659" s="8"/>
      <c r="K659" s="27"/>
      <c r="L659" s="8"/>
      <c r="M659" s="27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27"/>
      <c r="B660" s="27"/>
      <c r="C660" s="27"/>
      <c r="D660" s="27"/>
      <c r="E660" s="8"/>
      <c r="F660" s="8"/>
      <c r="G660" s="14"/>
      <c r="H660" s="8"/>
      <c r="I660" s="8"/>
      <c r="J660" s="8"/>
      <c r="K660" s="27"/>
      <c r="L660" s="8"/>
      <c r="M660" s="27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27"/>
      <c r="B661" s="27"/>
      <c r="C661" s="27"/>
      <c r="D661" s="27"/>
      <c r="E661" s="8"/>
      <c r="F661" s="8"/>
      <c r="G661" s="14"/>
      <c r="H661" s="8"/>
      <c r="I661" s="8"/>
      <c r="J661" s="8"/>
      <c r="K661" s="27"/>
      <c r="L661" s="8"/>
      <c r="M661" s="27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27"/>
      <c r="B662" s="27"/>
      <c r="C662" s="27"/>
      <c r="D662" s="27"/>
      <c r="E662" s="8"/>
      <c r="F662" s="8"/>
      <c r="G662" s="14"/>
      <c r="H662" s="8"/>
      <c r="I662" s="8"/>
      <c r="J662" s="8"/>
      <c r="K662" s="27"/>
      <c r="L662" s="8"/>
      <c r="M662" s="27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27"/>
      <c r="B663" s="27"/>
      <c r="C663" s="27"/>
      <c r="D663" s="27"/>
      <c r="E663" s="8"/>
      <c r="F663" s="8"/>
      <c r="G663" s="14"/>
      <c r="H663" s="8"/>
      <c r="I663" s="8"/>
      <c r="J663" s="8"/>
      <c r="K663" s="27"/>
      <c r="L663" s="8"/>
      <c r="M663" s="27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27"/>
      <c r="B664" s="27"/>
      <c r="C664" s="27"/>
      <c r="D664" s="27"/>
      <c r="E664" s="8"/>
      <c r="F664" s="8"/>
      <c r="G664" s="14"/>
      <c r="H664" s="8"/>
      <c r="I664" s="8"/>
      <c r="J664" s="8"/>
      <c r="K664" s="27"/>
      <c r="L664" s="8"/>
      <c r="M664" s="27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27"/>
      <c r="B665" s="27"/>
      <c r="C665" s="27"/>
      <c r="D665" s="27"/>
      <c r="E665" s="8"/>
      <c r="F665" s="8"/>
      <c r="G665" s="14"/>
      <c r="H665" s="8"/>
      <c r="I665" s="8"/>
      <c r="J665" s="8"/>
      <c r="K665" s="27"/>
      <c r="L665" s="8"/>
      <c r="M665" s="27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27"/>
      <c r="B666" s="27"/>
      <c r="C666" s="27"/>
      <c r="D666" s="27"/>
      <c r="E666" s="8"/>
      <c r="F666" s="8"/>
      <c r="G666" s="14"/>
      <c r="H666" s="8"/>
      <c r="I666" s="8"/>
      <c r="J666" s="8"/>
      <c r="K666" s="27"/>
      <c r="L666" s="8"/>
      <c r="M666" s="27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27"/>
      <c r="B667" s="27"/>
      <c r="C667" s="27"/>
      <c r="D667" s="27"/>
      <c r="E667" s="8"/>
      <c r="F667" s="8"/>
      <c r="G667" s="14"/>
      <c r="H667" s="8"/>
      <c r="I667" s="8"/>
      <c r="J667" s="8"/>
      <c r="K667" s="27"/>
      <c r="L667" s="8"/>
      <c r="M667" s="27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27"/>
      <c r="B668" s="27"/>
      <c r="C668" s="27"/>
      <c r="D668" s="27"/>
      <c r="E668" s="8"/>
      <c r="F668" s="8"/>
      <c r="G668" s="14"/>
      <c r="H668" s="8"/>
      <c r="I668" s="8"/>
      <c r="J668" s="8"/>
      <c r="K668" s="27"/>
      <c r="L668" s="8"/>
      <c r="M668" s="27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27"/>
      <c r="B669" s="27"/>
      <c r="C669" s="27"/>
      <c r="D669" s="27"/>
      <c r="E669" s="8"/>
      <c r="F669" s="8"/>
      <c r="G669" s="14"/>
      <c r="H669" s="8"/>
      <c r="I669" s="8"/>
      <c r="J669" s="8"/>
      <c r="K669" s="27"/>
      <c r="L669" s="8"/>
      <c r="M669" s="27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27"/>
      <c r="B670" s="27"/>
      <c r="C670" s="27"/>
      <c r="D670" s="27"/>
      <c r="E670" s="8"/>
      <c r="F670" s="8"/>
      <c r="G670" s="14"/>
      <c r="H670" s="8"/>
      <c r="I670" s="8"/>
      <c r="J670" s="8"/>
      <c r="K670" s="27"/>
      <c r="L670" s="8"/>
      <c r="M670" s="27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27"/>
      <c r="B671" s="27"/>
      <c r="C671" s="27"/>
      <c r="D671" s="27"/>
      <c r="E671" s="8"/>
      <c r="F671" s="8"/>
      <c r="G671" s="14"/>
      <c r="H671" s="8"/>
      <c r="I671" s="8"/>
      <c r="J671" s="8"/>
      <c r="K671" s="27"/>
      <c r="L671" s="8"/>
      <c r="M671" s="27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27"/>
      <c r="B672" s="27"/>
      <c r="C672" s="27"/>
      <c r="D672" s="27"/>
      <c r="E672" s="8"/>
      <c r="F672" s="8"/>
      <c r="G672" s="14"/>
      <c r="H672" s="8"/>
      <c r="I672" s="8"/>
      <c r="J672" s="8"/>
      <c r="K672" s="27"/>
      <c r="L672" s="8"/>
      <c r="M672" s="27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27"/>
      <c r="B673" s="27"/>
      <c r="C673" s="27"/>
      <c r="D673" s="27"/>
      <c r="E673" s="8"/>
      <c r="F673" s="8"/>
      <c r="G673" s="14"/>
      <c r="H673" s="8"/>
      <c r="I673" s="8"/>
      <c r="J673" s="8"/>
      <c r="K673" s="27"/>
      <c r="L673" s="8"/>
      <c r="M673" s="27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27"/>
      <c r="B674" s="27"/>
      <c r="C674" s="27"/>
      <c r="D674" s="27"/>
      <c r="E674" s="8"/>
      <c r="F674" s="8"/>
      <c r="G674" s="14"/>
      <c r="H674" s="8"/>
      <c r="I674" s="8"/>
      <c r="J674" s="8"/>
      <c r="K674" s="27"/>
      <c r="L674" s="8"/>
      <c r="M674" s="27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27"/>
      <c r="B675" s="27"/>
      <c r="C675" s="27"/>
      <c r="D675" s="27"/>
      <c r="E675" s="8"/>
      <c r="F675" s="8"/>
      <c r="G675" s="14"/>
      <c r="H675" s="8"/>
      <c r="I675" s="8"/>
      <c r="J675" s="8"/>
      <c r="K675" s="27"/>
      <c r="L675" s="8"/>
      <c r="M675" s="27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27"/>
      <c r="B676" s="27"/>
      <c r="C676" s="27"/>
      <c r="D676" s="27"/>
      <c r="E676" s="8"/>
      <c r="F676" s="8"/>
      <c r="G676" s="14"/>
      <c r="H676" s="8"/>
      <c r="I676" s="8"/>
      <c r="J676" s="8"/>
      <c r="K676" s="27"/>
      <c r="L676" s="8"/>
      <c r="M676" s="27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27"/>
      <c r="B677" s="27"/>
      <c r="C677" s="27"/>
      <c r="D677" s="27"/>
      <c r="E677" s="8"/>
      <c r="F677" s="8"/>
      <c r="G677" s="14"/>
      <c r="H677" s="8"/>
      <c r="I677" s="8"/>
      <c r="J677" s="8"/>
      <c r="K677" s="27"/>
      <c r="L677" s="8"/>
      <c r="M677" s="27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27"/>
      <c r="B678" s="27"/>
      <c r="C678" s="27"/>
      <c r="D678" s="27"/>
      <c r="E678" s="8"/>
      <c r="F678" s="8"/>
      <c r="G678" s="14"/>
      <c r="H678" s="8"/>
      <c r="I678" s="8"/>
      <c r="J678" s="8"/>
      <c r="K678" s="27"/>
      <c r="L678" s="8"/>
      <c r="M678" s="27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27"/>
      <c r="B679" s="27"/>
      <c r="C679" s="27"/>
      <c r="D679" s="27"/>
      <c r="E679" s="8"/>
      <c r="F679" s="8"/>
      <c r="G679" s="14"/>
      <c r="H679" s="8"/>
      <c r="I679" s="8"/>
      <c r="J679" s="8"/>
      <c r="K679" s="27"/>
      <c r="L679" s="8"/>
      <c r="M679" s="27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27"/>
      <c r="B680" s="27"/>
      <c r="C680" s="27"/>
      <c r="D680" s="27"/>
      <c r="E680" s="8"/>
      <c r="F680" s="8"/>
      <c r="G680" s="14"/>
      <c r="H680" s="8"/>
      <c r="I680" s="8"/>
      <c r="J680" s="8"/>
      <c r="K680" s="27"/>
      <c r="L680" s="8"/>
      <c r="M680" s="27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27"/>
      <c r="B681" s="27"/>
      <c r="C681" s="27"/>
      <c r="D681" s="27"/>
      <c r="E681" s="8"/>
      <c r="F681" s="8"/>
      <c r="G681" s="14"/>
      <c r="H681" s="8"/>
      <c r="I681" s="8"/>
      <c r="J681" s="8"/>
      <c r="K681" s="27"/>
      <c r="L681" s="8"/>
      <c r="M681" s="27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27"/>
      <c r="B682" s="27"/>
      <c r="C682" s="27"/>
      <c r="D682" s="27"/>
      <c r="E682" s="8"/>
      <c r="F682" s="8"/>
      <c r="G682" s="14"/>
      <c r="H682" s="8"/>
      <c r="I682" s="8"/>
      <c r="J682" s="8"/>
      <c r="K682" s="27"/>
      <c r="L682" s="8"/>
      <c r="M682" s="27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27"/>
      <c r="B683" s="27"/>
      <c r="C683" s="27"/>
      <c r="D683" s="27"/>
      <c r="E683" s="8"/>
      <c r="F683" s="8"/>
      <c r="G683" s="14"/>
      <c r="H683" s="8"/>
      <c r="I683" s="8"/>
      <c r="J683" s="8"/>
      <c r="K683" s="27"/>
      <c r="L683" s="8"/>
      <c r="M683" s="27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27"/>
      <c r="B684" s="27"/>
      <c r="C684" s="27"/>
      <c r="D684" s="27"/>
      <c r="E684" s="8"/>
      <c r="F684" s="8"/>
      <c r="G684" s="14"/>
      <c r="H684" s="8"/>
      <c r="I684" s="8"/>
      <c r="J684" s="8"/>
      <c r="K684" s="27"/>
      <c r="L684" s="8"/>
      <c r="M684" s="27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27"/>
      <c r="B685" s="27"/>
      <c r="C685" s="27"/>
      <c r="D685" s="27"/>
      <c r="E685" s="8"/>
      <c r="F685" s="8"/>
      <c r="G685" s="14"/>
      <c r="H685" s="8"/>
      <c r="I685" s="8"/>
      <c r="J685" s="8"/>
      <c r="K685" s="27"/>
      <c r="L685" s="8"/>
      <c r="M685" s="27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27"/>
      <c r="B686" s="27"/>
      <c r="C686" s="27"/>
      <c r="D686" s="27"/>
      <c r="E686" s="8"/>
      <c r="F686" s="8"/>
      <c r="G686" s="14"/>
      <c r="H686" s="8"/>
      <c r="I686" s="8"/>
      <c r="J686" s="8"/>
      <c r="K686" s="27"/>
      <c r="L686" s="8"/>
      <c r="M686" s="27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27"/>
      <c r="B687" s="27"/>
      <c r="C687" s="27"/>
      <c r="D687" s="27"/>
      <c r="E687" s="8"/>
      <c r="F687" s="8"/>
      <c r="G687" s="14"/>
      <c r="H687" s="8"/>
      <c r="I687" s="8"/>
      <c r="J687" s="8"/>
      <c r="K687" s="27"/>
      <c r="L687" s="8"/>
      <c r="M687" s="27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27"/>
      <c r="B688" s="27"/>
      <c r="C688" s="27"/>
      <c r="D688" s="27"/>
      <c r="E688" s="8"/>
      <c r="F688" s="8"/>
      <c r="G688" s="14"/>
      <c r="H688" s="8"/>
      <c r="I688" s="8"/>
      <c r="J688" s="8"/>
      <c r="K688" s="27"/>
      <c r="L688" s="8"/>
      <c r="M688" s="27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27"/>
      <c r="B689" s="27"/>
      <c r="C689" s="27"/>
      <c r="D689" s="27"/>
      <c r="E689" s="8"/>
      <c r="F689" s="8"/>
      <c r="G689" s="14"/>
      <c r="H689" s="8"/>
      <c r="I689" s="8"/>
      <c r="J689" s="8"/>
      <c r="K689" s="27"/>
      <c r="L689" s="8"/>
      <c r="M689" s="27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27"/>
      <c r="B690" s="27"/>
      <c r="C690" s="27"/>
      <c r="D690" s="27"/>
      <c r="E690" s="8"/>
      <c r="F690" s="8"/>
      <c r="G690" s="14"/>
      <c r="H690" s="8"/>
      <c r="I690" s="8"/>
      <c r="J690" s="8"/>
      <c r="K690" s="27"/>
      <c r="L690" s="8"/>
      <c r="M690" s="27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27"/>
      <c r="B691" s="27"/>
      <c r="C691" s="27"/>
      <c r="D691" s="27"/>
      <c r="E691" s="8"/>
      <c r="F691" s="8"/>
      <c r="G691" s="14"/>
      <c r="H691" s="8"/>
      <c r="I691" s="8"/>
      <c r="J691" s="8"/>
      <c r="K691" s="27"/>
      <c r="L691" s="8"/>
      <c r="M691" s="27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27"/>
      <c r="B692" s="27"/>
      <c r="C692" s="27"/>
      <c r="D692" s="27"/>
      <c r="E692" s="8"/>
      <c r="F692" s="8"/>
      <c r="G692" s="14"/>
      <c r="H692" s="8"/>
      <c r="I692" s="8"/>
      <c r="J692" s="8"/>
      <c r="K692" s="27"/>
      <c r="L692" s="8"/>
      <c r="M692" s="27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27"/>
      <c r="B693" s="27"/>
      <c r="C693" s="27"/>
      <c r="D693" s="27"/>
      <c r="E693" s="8"/>
      <c r="F693" s="8"/>
      <c r="G693" s="14"/>
      <c r="H693" s="8"/>
      <c r="I693" s="8"/>
      <c r="J693" s="8"/>
      <c r="K693" s="27"/>
      <c r="L693" s="8"/>
      <c r="M693" s="27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27"/>
      <c r="B694" s="27"/>
      <c r="C694" s="27"/>
      <c r="D694" s="27"/>
      <c r="E694" s="8"/>
      <c r="F694" s="8"/>
      <c r="G694" s="14"/>
      <c r="H694" s="8"/>
      <c r="I694" s="8"/>
      <c r="J694" s="8"/>
      <c r="K694" s="27"/>
      <c r="L694" s="8"/>
      <c r="M694" s="27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27"/>
      <c r="B695" s="27"/>
      <c r="C695" s="27"/>
      <c r="D695" s="27"/>
      <c r="E695" s="8"/>
      <c r="F695" s="8"/>
      <c r="G695" s="14"/>
      <c r="H695" s="8"/>
      <c r="I695" s="8"/>
      <c r="J695" s="8"/>
      <c r="K695" s="27"/>
      <c r="L695" s="8"/>
      <c r="M695" s="27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27"/>
      <c r="B696" s="27"/>
      <c r="C696" s="27"/>
      <c r="D696" s="27"/>
      <c r="E696" s="8"/>
      <c r="F696" s="8"/>
      <c r="G696" s="14"/>
      <c r="H696" s="8"/>
      <c r="I696" s="8"/>
      <c r="J696" s="8"/>
      <c r="K696" s="27"/>
      <c r="L696" s="8"/>
      <c r="M696" s="27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27"/>
      <c r="B697" s="27"/>
      <c r="C697" s="27"/>
      <c r="D697" s="27"/>
      <c r="E697" s="8"/>
      <c r="F697" s="8"/>
      <c r="G697" s="14"/>
      <c r="H697" s="8"/>
      <c r="I697" s="8"/>
      <c r="J697" s="8"/>
      <c r="K697" s="27"/>
      <c r="L697" s="8"/>
      <c r="M697" s="27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27"/>
      <c r="B698" s="27"/>
      <c r="C698" s="27"/>
      <c r="D698" s="27"/>
      <c r="E698" s="8"/>
      <c r="F698" s="8"/>
      <c r="G698" s="14"/>
      <c r="H698" s="8"/>
      <c r="I698" s="8"/>
      <c r="J698" s="8"/>
      <c r="K698" s="27"/>
      <c r="L698" s="8"/>
      <c r="M698" s="27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27"/>
      <c r="B699" s="27"/>
      <c r="C699" s="27"/>
      <c r="D699" s="27"/>
      <c r="E699" s="8"/>
      <c r="F699" s="8"/>
      <c r="G699" s="14"/>
      <c r="H699" s="8"/>
      <c r="I699" s="8"/>
      <c r="J699" s="8"/>
      <c r="K699" s="27"/>
      <c r="L699" s="8"/>
      <c r="M699" s="27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27"/>
      <c r="B700" s="27"/>
      <c r="C700" s="27"/>
      <c r="D700" s="27"/>
      <c r="E700" s="8"/>
      <c r="F700" s="8"/>
      <c r="G700" s="14"/>
      <c r="H700" s="8"/>
      <c r="I700" s="8"/>
      <c r="J700" s="8"/>
      <c r="K700" s="27"/>
      <c r="L700" s="8"/>
      <c r="M700" s="27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27"/>
      <c r="B701" s="27"/>
      <c r="C701" s="27"/>
      <c r="D701" s="27"/>
      <c r="E701" s="8"/>
      <c r="F701" s="8"/>
      <c r="G701" s="14"/>
      <c r="H701" s="8"/>
      <c r="I701" s="8"/>
      <c r="J701" s="8"/>
      <c r="K701" s="27"/>
      <c r="L701" s="8"/>
      <c r="M701" s="27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27"/>
      <c r="B702" s="27"/>
      <c r="C702" s="27"/>
      <c r="D702" s="27"/>
      <c r="E702" s="8"/>
      <c r="F702" s="8"/>
      <c r="G702" s="14"/>
      <c r="H702" s="8"/>
      <c r="I702" s="8"/>
      <c r="J702" s="8"/>
      <c r="K702" s="27"/>
      <c r="L702" s="8"/>
      <c r="M702" s="27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27"/>
      <c r="B703" s="27"/>
      <c r="C703" s="27"/>
      <c r="D703" s="27"/>
      <c r="E703" s="8"/>
      <c r="F703" s="8"/>
      <c r="G703" s="14"/>
      <c r="H703" s="8"/>
      <c r="I703" s="8"/>
      <c r="J703" s="8"/>
      <c r="K703" s="27"/>
      <c r="L703" s="8"/>
      <c r="M703" s="27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27"/>
      <c r="B704" s="27"/>
      <c r="C704" s="27"/>
      <c r="D704" s="27"/>
      <c r="E704" s="8"/>
      <c r="F704" s="8"/>
      <c r="G704" s="14"/>
      <c r="H704" s="8"/>
      <c r="I704" s="8"/>
      <c r="J704" s="8"/>
      <c r="K704" s="27"/>
      <c r="L704" s="8"/>
      <c r="M704" s="27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27"/>
      <c r="B705" s="27"/>
      <c r="C705" s="27"/>
      <c r="D705" s="27"/>
      <c r="E705" s="8"/>
      <c r="F705" s="8"/>
      <c r="G705" s="14"/>
      <c r="H705" s="8"/>
      <c r="I705" s="8"/>
      <c r="J705" s="8"/>
      <c r="K705" s="27"/>
      <c r="L705" s="8"/>
      <c r="M705" s="27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27"/>
      <c r="B706" s="27"/>
      <c r="C706" s="27"/>
      <c r="D706" s="27"/>
      <c r="E706" s="8"/>
      <c r="F706" s="8"/>
      <c r="G706" s="14"/>
      <c r="H706" s="8"/>
      <c r="I706" s="8"/>
      <c r="J706" s="8"/>
      <c r="K706" s="27"/>
      <c r="L706" s="8"/>
      <c r="M706" s="27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27"/>
      <c r="B707" s="27"/>
      <c r="C707" s="27"/>
      <c r="D707" s="27"/>
      <c r="E707" s="8"/>
      <c r="F707" s="8"/>
      <c r="G707" s="14"/>
      <c r="H707" s="8"/>
      <c r="I707" s="8"/>
      <c r="J707" s="8"/>
      <c r="K707" s="27"/>
      <c r="L707" s="8"/>
      <c r="M707" s="27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27"/>
      <c r="B708" s="27"/>
      <c r="C708" s="27"/>
      <c r="D708" s="27"/>
      <c r="E708" s="8"/>
      <c r="F708" s="8"/>
      <c r="G708" s="14"/>
      <c r="H708" s="8"/>
      <c r="I708" s="8"/>
      <c r="J708" s="8"/>
      <c r="K708" s="27"/>
      <c r="L708" s="8"/>
      <c r="M708" s="27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27"/>
      <c r="B709" s="27"/>
      <c r="C709" s="27"/>
      <c r="D709" s="27"/>
      <c r="E709" s="8"/>
      <c r="F709" s="8"/>
      <c r="G709" s="14"/>
      <c r="H709" s="8"/>
      <c r="I709" s="8"/>
      <c r="J709" s="8"/>
      <c r="K709" s="27"/>
      <c r="L709" s="8"/>
      <c r="M709" s="27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27"/>
      <c r="B710" s="27"/>
      <c r="C710" s="27"/>
      <c r="D710" s="27"/>
      <c r="E710" s="8"/>
      <c r="F710" s="8"/>
      <c r="G710" s="14"/>
      <c r="H710" s="8"/>
      <c r="I710" s="8"/>
      <c r="J710" s="8"/>
      <c r="K710" s="27"/>
      <c r="L710" s="8"/>
      <c r="M710" s="27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27"/>
      <c r="B711" s="27"/>
      <c r="C711" s="27"/>
      <c r="D711" s="27"/>
      <c r="E711" s="8"/>
      <c r="F711" s="8"/>
      <c r="G711" s="14"/>
      <c r="H711" s="8"/>
      <c r="I711" s="8"/>
      <c r="J711" s="8"/>
      <c r="K711" s="27"/>
      <c r="L711" s="8"/>
      <c r="M711" s="27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27"/>
      <c r="B712" s="27"/>
      <c r="C712" s="27"/>
      <c r="D712" s="27"/>
      <c r="E712" s="8"/>
      <c r="F712" s="8"/>
      <c r="G712" s="14"/>
      <c r="H712" s="8"/>
      <c r="I712" s="8"/>
      <c r="J712" s="8"/>
      <c r="K712" s="27"/>
      <c r="L712" s="8"/>
      <c r="M712" s="27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27"/>
      <c r="B713" s="27"/>
      <c r="C713" s="27"/>
      <c r="D713" s="27"/>
      <c r="E713" s="8"/>
      <c r="F713" s="8"/>
      <c r="G713" s="14"/>
      <c r="H713" s="8"/>
      <c r="I713" s="8"/>
      <c r="J713" s="8"/>
      <c r="K713" s="27"/>
      <c r="L713" s="8"/>
      <c r="M713" s="27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27"/>
      <c r="B714" s="27"/>
      <c r="C714" s="27"/>
      <c r="D714" s="27"/>
      <c r="E714" s="8"/>
      <c r="F714" s="8"/>
      <c r="G714" s="14"/>
      <c r="H714" s="8"/>
      <c r="I714" s="8"/>
      <c r="J714" s="8"/>
      <c r="K714" s="27"/>
      <c r="L714" s="8"/>
      <c r="M714" s="27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27"/>
      <c r="B715" s="27"/>
      <c r="C715" s="27"/>
      <c r="D715" s="27"/>
      <c r="E715" s="8"/>
      <c r="F715" s="8"/>
      <c r="G715" s="14"/>
      <c r="H715" s="8"/>
      <c r="I715" s="8"/>
      <c r="J715" s="8"/>
      <c r="K715" s="27"/>
      <c r="L715" s="8"/>
      <c r="M715" s="27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27"/>
      <c r="B716" s="27"/>
      <c r="C716" s="27"/>
      <c r="D716" s="27"/>
      <c r="E716" s="8"/>
      <c r="F716" s="8"/>
      <c r="G716" s="14"/>
      <c r="H716" s="8"/>
      <c r="I716" s="8"/>
      <c r="J716" s="8"/>
      <c r="K716" s="27"/>
      <c r="L716" s="8"/>
      <c r="M716" s="27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27"/>
      <c r="B717" s="27"/>
      <c r="C717" s="27"/>
      <c r="D717" s="27"/>
      <c r="E717" s="8"/>
      <c r="F717" s="8"/>
      <c r="G717" s="14"/>
      <c r="H717" s="8"/>
      <c r="I717" s="8"/>
      <c r="J717" s="8"/>
      <c r="K717" s="27"/>
      <c r="L717" s="8"/>
      <c r="M717" s="27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27"/>
      <c r="B718" s="27"/>
      <c r="C718" s="27"/>
      <c r="D718" s="27"/>
      <c r="E718" s="8"/>
      <c r="F718" s="8"/>
      <c r="G718" s="14"/>
      <c r="H718" s="8"/>
      <c r="I718" s="8"/>
      <c r="J718" s="8"/>
      <c r="K718" s="27"/>
      <c r="L718" s="8"/>
      <c r="M718" s="27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27"/>
      <c r="B719" s="27"/>
      <c r="C719" s="27"/>
      <c r="D719" s="27"/>
      <c r="E719" s="8"/>
      <c r="F719" s="8"/>
      <c r="G719" s="14"/>
      <c r="H719" s="8"/>
      <c r="I719" s="8"/>
      <c r="J719" s="8"/>
      <c r="K719" s="27"/>
      <c r="L719" s="8"/>
      <c r="M719" s="27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27"/>
      <c r="B720" s="27"/>
      <c r="C720" s="27"/>
      <c r="D720" s="27"/>
      <c r="E720" s="8"/>
      <c r="F720" s="8"/>
      <c r="G720" s="14"/>
      <c r="H720" s="8"/>
      <c r="I720" s="8"/>
      <c r="J720" s="8"/>
      <c r="K720" s="27"/>
      <c r="L720" s="8"/>
      <c r="M720" s="27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27"/>
      <c r="B721" s="27"/>
      <c r="C721" s="27"/>
      <c r="D721" s="27"/>
      <c r="E721" s="8"/>
      <c r="F721" s="8"/>
      <c r="G721" s="14"/>
      <c r="H721" s="8"/>
      <c r="I721" s="8"/>
      <c r="J721" s="8"/>
      <c r="K721" s="27"/>
      <c r="L721" s="8"/>
      <c r="M721" s="27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27"/>
      <c r="B722" s="27"/>
      <c r="C722" s="27"/>
      <c r="D722" s="27"/>
      <c r="E722" s="8"/>
      <c r="F722" s="8"/>
      <c r="G722" s="14"/>
      <c r="H722" s="8"/>
      <c r="I722" s="8"/>
      <c r="J722" s="8"/>
      <c r="K722" s="27"/>
      <c r="L722" s="8"/>
      <c r="M722" s="27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27"/>
      <c r="B723" s="27"/>
      <c r="C723" s="27"/>
      <c r="D723" s="27"/>
      <c r="E723" s="8"/>
      <c r="F723" s="8"/>
      <c r="G723" s="14"/>
      <c r="H723" s="8"/>
      <c r="I723" s="8"/>
      <c r="J723" s="8"/>
      <c r="K723" s="27"/>
      <c r="L723" s="8"/>
      <c r="M723" s="27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27"/>
      <c r="B724" s="27"/>
      <c r="C724" s="27"/>
      <c r="D724" s="27"/>
      <c r="E724" s="8"/>
      <c r="F724" s="8"/>
      <c r="G724" s="14"/>
      <c r="H724" s="8"/>
      <c r="I724" s="8"/>
      <c r="J724" s="8"/>
      <c r="K724" s="27"/>
      <c r="L724" s="8"/>
      <c r="M724" s="27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27"/>
      <c r="B725" s="27"/>
      <c r="C725" s="27"/>
      <c r="D725" s="27"/>
      <c r="E725" s="8"/>
      <c r="F725" s="8"/>
      <c r="G725" s="14"/>
      <c r="H725" s="8"/>
      <c r="I725" s="8"/>
      <c r="J725" s="8"/>
      <c r="K725" s="27"/>
      <c r="L725" s="8"/>
      <c r="M725" s="27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27"/>
      <c r="B726" s="27"/>
      <c r="C726" s="27"/>
      <c r="D726" s="27"/>
      <c r="E726" s="8"/>
      <c r="F726" s="8"/>
      <c r="G726" s="14"/>
      <c r="H726" s="8"/>
      <c r="I726" s="8"/>
      <c r="J726" s="8"/>
      <c r="K726" s="27"/>
      <c r="L726" s="8"/>
      <c r="M726" s="27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27"/>
      <c r="B727" s="27"/>
      <c r="C727" s="27"/>
      <c r="D727" s="27"/>
      <c r="E727" s="8"/>
      <c r="F727" s="8"/>
      <c r="G727" s="14"/>
      <c r="H727" s="8"/>
      <c r="I727" s="8"/>
      <c r="J727" s="8"/>
      <c r="K727" s="27"/>
      <c r="L727" s="8"/>
      <c r="M727" s="27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27"/>
      <c r="B728" s="27"/>
      <c r="C728" s="27"/>
      <c r="D728" s="27"/>
      <c r="E728" s="8"/>
      <c r="F728" s="8"/>
      <c r="G728" s="14"/>
      <c r="H728" s="8"/>
      <c r="I728" s="8"/>
      <c r="J728" s="8"/>
      <c r="K728" s="27"/>
      <c r="L728" s="8"/>
      <c r="M728" s="27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27"/>
      <c r="B729" s="27"/>
      <c r="C729" s="27"/>
      <c r="D729" s="27"/>
      <c r="E729" s="8"/>
      <c r="F729" s="8"/>
      <c r="G729" s="14"/>
      <c r="H729" s="8"/>
      <c r="I729" s="8"/>
      <c r="J729" s="8"/>
      <c r="K729" s="27"/>
      <c r="L729" s="8"/>
      <c r="M729" s="27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27"/>
      <c r="B730" s="27"/>
      <c r="C730" s="27"/>
      <c r="D730" s="27"/>
      <c r="E730" s="8"/>
      <c r="F730" s="8"/>
      <c r="G730" s="14"/>
      <c r="H730" s="8"/>
      <c r="I730" s="8"/>
      <c r="J730" s="8"/>
      <c r="K730" s="27"/>
      <c r="L730" s="8"/>
      <c r="M730" s="27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27"/>
      <c r="B731" s="27"/>
      <c r="C731" s="27"/>
      <c r="D731" s="27"/>
      <c r="E731" s="8"/>
      <c r="F731" s="8"/>
      <c r="G731" s="14"/>
      <c r="H731" s="8"/>
      <c r="I731" s="8"/>
      <c r="J731" s="8"/>
      <c r="K731" s="27"/>
      <c r="L731" s="8"/>
      <c r="M731" s="27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27"/>
      <c r="B732" s="27"/>
      <c r="C732" s="27"/>
      <c r="D732" s="27"/>
      <c r="E732" s="8"/>
      <c r="F732" s="8"/>
      <c r="G732" s="14"/>
      <c r="H732" s="8"/>
      <c r="I732" s="8"/>
      <c r="J732" s="8"/>
      <c r="K732" s="27"/>
      <c r="L732" s="8"/>
      <c r="M732" s="27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27"/>
      <c r="B733" s="27"/>
      <c r="C733" s="27"/>
      <c r="D733" s="27"/>
      <c r="E733" s="8"/>
      <c r="F733" s="8"/>
      <c r="G733" s="14"/>
      <c r="H733" s="8"/>
      <c r="I733" s="8"/>
      <c r="J733" s="8"/>
      <c r="K733" s="27"/>
      <c r="L733" s="8"/>
      <c r="M733" s="27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27"/>
      <c r="B734" s="27"/>
      <c r="C734" s="27"/>
      <c r="D734" s="27"/>
      <c r="E734" s="8"/>
      <c r="F734" s="8"/>
      <c r="G734" s="14"/>
      <c r="H734" s="8"/>
      <c r="I734" s="8"/>
      <c r="J734" s="8"/>
      <c r="K734" s="27"/>
      <c r="L734" s="8"/>
      <c r="M734" s="27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27"/>
      <c r="B735" s="27"/>
      <c r="C735" s="27"/>
      <c r="D735" s="27"/>
      <c r="E735" s="8"/>
      <c r="F735" s="8"/>
      <c r="G735" s="14"/>
      <c r="H735" s="8"/>
      <c r="I735" s="8"/>
      <c r="J735" s="8"/>
      <c r="K735" s="27"/>
      <c r="L735" s="8"/>
      <c r="M735" s="27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27"/>
      <c r="B736" s="27"/>
      <c r="C736" s="27"/>
      <c r="D736" s="27"/>
      <c r="E736" s="8"/>
      <c r="F736" s="8"/>
      <c r="G736" s="14"/>
      <c r="H736" s="8"/>
      <c r="I736" s="8"/>
      <c r="J736" s="8"/>
      <c r="K736" s="27"/>
      <c r="L736" s="8"/>
      <c r="M736" s="27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27"/>
      <c r="B737" s="27"/>
      <c r="C737" s="27"/>
      <c r="D737" s="27"/>
      <c r="E737" s="8"/>
      <c r="F737" s="8"/>
      <c r="G737" s="14"/>
      <c r="H737" s="8"/>
      <c r="I737" s="8"/>
      <c r="J737" s="8"/>
      <c r="K737" s="27"/>
      <c r="L737" s="8"/>
      <c r="M737" s="27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27"/>
      <c r="B738" s="27"/>
      <c r="C738" s="27"/>
      <c r="D738" s="27"/>
      <c r="E738" s="8"/>
      <c r="F738" s="8"/>
      <c r="G738" s="14"/>
      <c r="H738" s="8"/>
      <c r="I738" s="8"/>
      <c r="J738" s="8"/>
      <c r="K738" s="27"/>
      <c r="L738" s="8"/>
      <c r="M738" s="27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27"/>
      <c r="B739" s="27"/>
      <c r="C739" s="27"/>
      <c r="D739" s="27"/>
      <c r="E739" s="8"/>
      <c r="F739" s="8"/>
      <c r="G739" s="14"/>
      <c r="H739" s="8"/>
      <c r="I739" s="8"/>
      <c r="J739" s="8"/>
      <c r="K739" s="27"/>
      <c r="L739" s="8"/>
      <c r="M739" s="27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27"/>
      <c r="B740" s="27"/>
      <c r="C740" s="27"/>
      <c r="D740" s="27"/>
      <c r="E740" s="8"/>
      <c r="F740" s="8"/>
      <c r="G740" s="14"/>
      <c r="H740" s="8"/>
      <c r="I740" s="8"/>
      <c r="J740" s="8"/>
      <c r="K740" s="27"/>
      <c r="L740" s="8"/>
      <c r="M740" s="27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27"/>
      <c r="B741" s="27"/>
      <c r="C741" s="27"/>
      <c r="D741" s="27"/>
      <c r="E741" s="8"/>
      <c r="F741" s="8"/>
      <c r="G741" s="14"/>
      <c r="H741" s="8"/>
      <c r="I741" s="8"/>
      <c r="J741" s="8"/>
      <c r="K741" s="27"/>
      <c r="L741" s="8"/>
      <c r="M741" s="27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27"/>
      <c r="B742" s="27"/>
      <c r="C742" s="27"/>
      <c r="D742" s="27"/>
      <c r="E742" s="8"/>
      <c r="F742" s="8"/>
      <c r="G742" s="14"/>
      <c r="H742" s="8"/>
      <c r="I742" s="8"/>
      <c r="J742" s="8"/>
      <c r="K742" s="27"/>
      <c r="L742" s="8"/>
      <c r="M742" s="27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27"/>
      <c r="B743" s="27"/>
      <c r="C743" s="27"/>
      <c r="D743" s="27"/>
      <c r="E743" s="8"/>
      <c r="F743" s="8"/>
      <c r="G743" s="14"/>
      <c r="H743" s="8"/>
      <c r="I743" s="8"/>
      <c r="J743" s="8"/>
      <c r="K743" s="27"/>
      <c r="L743" s="8"/>
      <c r="M743" s="27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27"/>
      <c r="B744" s="27"/>
      <c r="C744" s="27"/>
      <c r="D744" s="27"/>
      <c r="E744" s="8"/>
      <c r="F744" s="8"/>
      <c r="G744" s="14"/>
      <c r="H744" s="8"/>
      <c r="I744" s="8"/>
      <c r="J744" s="8"/>
      <c r="K744" s="27"/>
      <c r="L744" s="8"/>
      <c r="M744" s="27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27"/>
      <c r="B745" s="27"/>
      <c r="C745" s="27"/>
      <c r="D745" s="27"/>
      <c r="E745" s="8"/>
      <c r="F745" s="8"/>
      <c r="G745" s="14"/>
      <c r="H745" s="8"/>
      <c r="I745" s="8"/>
      <c r="J745" s="8"/>
      <c r="K745" s="27"/>
      <c r="L745" s="8"/>
      <c r="M745" s="27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27"/>
      <c r="B746" s="27"/>
      <c r="C746" s="27"/>
      <c r="D746" s="27"/>
      <c r="E746" s="8"/>
      <c r="F746" s="8"/>
      <c r="G746" s="14"/>
      <c r="H746" s="8"/>
      <c r="I746" s="8"/>
      <c r="J746" s="8"/>
      <c r="K746" s="27"/>
      <c r="L746" s="8"/>
      <c r="M746" s="27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27"/>
      <c r="B747" s="27"/>
      <c r="C747" s="27"/>
      <c r="D747" s="27"/>
      <c r="E747" s="8"/>
      <c r="F747" s="8"/>
      <c r="G747" s="14"/>
      <c r="H747" s="8"/>
      <c r="I747" s="8"/>
      <c r="J747" s="8"/>
      <c r="K747" s="27"/>
      <c r="L747" s="8"/>
      <c r="M747" s="27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27"/>
      <c r="B748" s="27"/>
      <c r="C748" s="27"/>
      <c r="D748" s="27"/>
      <c r="E748" s="8"/>
      <c r="F748" s="8"/>
      <c r="G748" s="14"/>
      <c r="H748" s="8"/>
      <c r="I748" s="8"/>
      <c r="J748" s="8"/>
      <c r="K748" s="27"/>
      <c r="L748" s="8"/>
      <c r="M748" s="27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27"/>
      <c r="B749" s="27"/>
      <c r="C749" s="27"/>
      <c r="D749" s="27"/>
      <c r="E749" s="8"/>
      <c r="F749" s="8"/>
      <c r="G749" s="14"/>
      <c r="H749" s="8"/>
      <c r="I749" s="8"/>
      <c r="J749" s="8"/>
      <c r="K749" s="27"/>
      <c r="L749" s="8"/>
      <c r="M749" s="27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27"/>
      <c r="B750" s="27"/>
      <c r="C750" s="27"/>
      <c r="D750" s="27"/>
      <c r="E750" s="8"/>
      <c r="F750" s="8"/>
      <c r="G750" s="14"/>
      <c r="H750" s="8"/>
      <c r="I750" s="8"/>
      <c r="J750" s="8"/>
      <c r="K750" s="27"/>
      <c r="L750" s="8"/>
      <c r="M750" s="27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27"/>
      <c r="B751" s="27"/>
      <c r="C751" s="27"/>
      <c r="D751" s="27"/>
      <c r="E751" s="8"/>
      <c r="F751" s="8"/>
      <c r="G751" s="14"/>
      <c r="H751" s="8"/>
      <c r="I751" s="8"/>
      <c r="J751" s="8"/>
      <c r="K751" s="27"/>
      <c r="L751" s="8"/>
      <c r="M751" s="27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27"/>
      <c r="B752" s="27"/>
      <c r="C752" s="27"/>
      <c r="D752" s="27"/>
      <c r="E752" s="8"/>
      <c r="F752" s="8"/>
      <c r="G752" s="14"/>
      <c r="H752" s="8"/>
      <c r="I752" s="8"/>
      <c r="J752" s="8"/>
      <c r="K752" s="27"/>
      <c r="L752" s="8"/>
      <c r="M752" s="27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27"/>
      <c r="B753" s="27"/>
      <c r="C753" s="27"/>
      <c r="D753" s="27"/>
      <c r="E753" s="8"/>
      <c r="F753" s="8"/>
      <c r="G753" s="14"/>
      <c r="H753" s="8"/>
      <c r="I753" s="8"/>
      <c r="J753" s="8"/>
      <c r="K753" s="27"/>
      <c r="L753" s="8"/>
      <c r="M753" s="27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27"/>
      <c r="B754" s="27"/>
      <c r="C754" s="27"/>
      <c r="D754" s="27"/>
      <c r="E754" s="8"/>
      <c r="F754" s="8"/>
      <c r="G754" s="14"/>
      <c r="H754" s="8"/>
      <c r="I754" s="8"/>
      <c r="J754" s="8"/>
      <c r="K754" s="27"/>
      <c r="L754" s="8"/>
      <c r="M754" s="27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27"/>
      <c r="B755" s="27"/>
      <c r="C755" s="27"/>
      <c r="D755" s="27"/>
      <c r="E755" s="8"/>
      <c r="F755" s="8"/>
      <c r="G755" s="14"/>
      <c r="H755" s="8"/>
      <c r="I755" s="8"/>
      <c r="J755" s="8"/>
      <c r="K755" s="27"/>
      <c r="L755" s="8"/>
      <c r="M755" s="27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27"/>
      <c r="B756" s="27"/>
      <c r="C756" s="27"/>
      <c r="D756" s="27"/>
      <c r="E756" s="8"/>
      <c r="F756" s="8"/>
      <c r="G756" s="14"/>
      <c r="H756" s="8"/>
      <c r="I756" s="8"/>
      <c r="J756" s="8"/>
      <c r="K756" s="27"/>
      <c r="L756" s="8"/>
      <c r="M756" s="27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27"/>
      <c r="B757" s="27"/>
      <c r="C757" s="27"/>
      <c r="D757" s="27"/>
      <c r="E757" s="8"/>
      <c r="F757" s="8"/>
      <c r="G757" s="14"/>
      <c r="H757" s="8"/>
      <c r="I757" s="8"/>
      <c r="J757" s="8"/>
      <c r="K757" s="27"/>
      <c r="L757" s="8"/>
      <c r="M757" s="27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27"/>
      <c r="B758" s="27"/>
      <c r="C758" s="27"/>
      <c r="D758" s="27"/>
      <c r="E758" s="8"/>
      <c r="F758" s="8"/>
      <c r="G758" s="14"/>
      <c r="H758" s="8"/>
      <c r="I758" s="8"/>
      <c r="J758" s="8"/>
      <c r="K758" s="27"/>
      <c r="L758" s="8"/>
      <c r="M758" s="27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27"/>
      <c r="B759" s="27"/>
      <c r="C759" s="27"/>
      <c r="D759" s="27"/>
      <c r="E759" s="8"/>
      <c r="F759" s="8"/>
      <c r="G759" s="14"/>
      <c r="H759" s="8"/>
      <c r="I759" s="8"/>
      <c r="J759" s="8"/>
      <c r="K759" s="27"/>
      <c r="L759" s="8"/>
      <c r="M759" s="27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27"/>
      <c r="B760" s="27"/>
      <c r="C760" s="27"/>
      <c r="D760" s="27"/>
      <c r="E760" s="8"/>
      <c r="F760" s="8"/>
      <c r="G760" s="14"/>
      <c r="H760" s="8"/>
      <c r="I760" s="8"/>
      <c r="J760" s="8"/>
      <c r="K760" s="27"/>
      <c r="L760" s="8"/>
      <c r="M760" s="27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27"/>
      <c r="B761" s="27"/>
      <c r="C761" s="27"/>
      <c r="D761" s="27"/>
      <c r="E761" s="8"/>
      <c r="F761" s="8"/>
      <c r="G761" s="14"/>
      <c r="H761" s="8"/>
      <c r="I761" s="8"/>
      <c r="J761" s="8"/>
      <c r="K761" s="27"/>
      <c r="L761" s="8"/>
      <c r="M761" s="27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27"/>
      <c r="B762" s="27"/>
      <c r="C762" s="27"/>
      <c r="D762" s="27"/>
      <c r="E762" s="8"/>
      <c r="F762" s="8"/>
      <c r="G762" s="14"/>
      <c r="H762" s="8"/>
      <c r="I762" s="8"/>
      <c r="J762" s="8"/>
      <c r="K762" s="27"/>
      <c r="L762" s="8"/>
      <c r="M762" s="27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27"/>
      <c r="B763" s="27"/>
      <c r="C763" s="27"/>
      <c r="D763" s="27"/>
      <c r="E763" s="8"/>
      <c r="F763" s="8"/>
      <c r="G763" s="14"/>
      <c r="H763" s="8"/>
      <c r="I763" s="8"/>
      <c r="J763" s="8"/>
      <c r="K763" s="27"/>
      <c r="L763" s="8"/>
      <c r="M763" s="27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27"/>
      <c r="B764" s="27"/>
      <c r="C764" s="27"/>
      <c r="D764" s="27"/>
      <c r="E764" s="8"/>
      <c r="F764" s="8"/>
      <c r="G764" s="14"/>
      <c r="H764" s="8"/>
      <c r="I764" s="8"/>
      <c r="J764" s="8"/>
      <c r="K764" s="27"/>
      <c r="L764" s="8"/>
      <c r="M764" s="27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27"/>
      <c r="B765" s="27"/>
      <c r="C765" s="27"/>
      <c r="D765" s="27"/>
      <c r="E765" s="8"/>
      <c r="F765" s="8"/>
      <c r="G765" s="14"/>
      <c r="H765" s="8"/>
      <c r="I765" s="8"/>
      <c r="J765" s="8"/>
      <c r="K765" s="27"/>
      <c r="L765" s="8"/>
      <c r="M765" s="27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27"/>
      <c r="B766" s="27"/>
      <c r="C766" s="27"/>
      <c r="D766" s="27"/>
      <c r="E766" s="8"/>
      <c r="F766" s="8"/>
      <c r="G766" s="14"/>
      <c r="H766" s="8"/>
      <c r="I766" s="8"/>
      <c r="J766" s="8"/>
      <c r="K766" s="27"/>
      <c r="L766" s="8"/>
      <c r="M766" s="27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27"/>
      <c r="B767" s="27"/>
      <c r="C767" s="27"/>
      <c r="D767" s="27"/>
      <c r="E767" s="8"/>
      <c r="F767" s="8"/>
      <c r="G767" s="14"/>
      <c r="H767" s="8"/>
      <c r="I767" s="8"/>
      <c r="J767" s="8"/>
      <c r="K767" s="27"/>
      <c r="L767" s="8"/>
      <c r="M767" s="27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27"/>
      <c r="B768" s="27"/>
      <c r="C768" s="27"/>
      <c r="D768" s="27"/>
      <c r="E768" s="8"/>
      <c r="F768" s="8"/>
      <c r="G768" s="14"/>
      <c r="H768" s="8"/>
      <c r="I768" s="8"/>
      <c r="J768" s="8"/>
      <c r="K768" s="27"/>
      <c r="L768" s="8"/>
      <c r="M768" s="27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27"/>
      <c r="B769" s="27"/>
      <c r="C769" s="27"/>
      <c r="D769" s="27"/>
      <c r="E769" s="8"/>
      <c r="F769" s="8"/>
      <c r="G769" s="14"/>
      <c r="H769" s="8"/>
      <c r="I769" s="8"/>
      <c r="J769" s="8"/>
      <c r="K769" s="27"/>
      <c r="L769" s="8"/>
      <c r="M769" s="27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27"/>
      <c r="B770" s="27"/>
      <c r="C770" s="27"/>
      <c r="D770" s="27"/>
      <c r="E770" s="8"/>
      <c r="F770" s="8"/>
      <c r="G770" s="14"/>
      <c r="H770" s="8"/>
      <c r="I770" s="8"/>
      <c r="J770" s="8"/>
      <c r="K770" s="27"/>
      <c r="L770" s="8"/>
      <c r="M770" s="27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27"/>
      <c r="B771" s="27"/>
      <c r="C771" s="27"/>
      <c r="D771" s="27"/>
      <c r="E771" s="8"/>
      <c r="F771" s="8"/>
      <c r="G771" s="14"/>
      <c r="H771" s="8"/>
      <c r="I771" s="8"/>
      <c r="J771" s="8"/>
      <c r="K771" s="27"/>
      <c r="L771" s="8"/>
      <c r="M771" s="27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27"/>
      <c r="B772" s="27"/>
      <c r="C772" s="27"/>
      <c r="D772" s="27"/>
      <c r="E772" s="8"/>
      <c r="F772" s="8"/>
      <c r="G772" s="14"/>
      <c r="H772" s="8"/>
      <c r="I772" s="8"/>
      <c r="J772" s="8"/>
      <c r="K772" s="27"/>
      <c r="L772" s="8"/>
      <c r="M772" s="27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27"/>
      <c r="B773" s="27"/>
      <c r="C773" s="27"/>
      <c r="D773" s="27"/>
      <c r="E773" s="8"/>
      <c r="F773" s="8"/>
      <c r="G773" s="14"/>
      <c r="H773" s="8"/>
      <c r="I773" s="8"/>
      <c r="J773" s="8"/>
      <c r="K773" s="27"/>
      <c r="L773" s="8"/>
      <c r="M773" s="27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27"/>
      <c r="B774" s="27"/>
      <c r="C774" s="27"/>
      <c r="D774" s="27"/>
      <c r="E774" s="8"/>
      <c r="F774" s="8"/>
      <c r="G774" s="14"/>
      <c r="H774" s="8"/>
      <c r="I774" s="8"/>
      <c r="J774" s="8"/>
      <c r="K774" s="27"/>
      <c r="L774" s="8"/>
      <c r="M774" s="27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27"/>
      <c r="B775" s="27"/>
      <c r="C775" s="27"/>
      <c r="D775" s="27"/>
      <c r="E775" s="8"/>
      <c r="F775" s="8"/>
      <c r="G775" s="14"/>
      <c r="H775" s="8"/>
      <c r="I775" s="8"/>
      <c r="J775" s="8"/>
      <c r="K775" s="27"/>
      <c r="L775" s="8"/>
      <c r="M775" s="27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27"/>
      <c r="B776" s="27"/>
      <c r="C776" s="27"/>
      <c r="D776" s="27"/>
      <c r="E776" s="8"/>
      <c r="F776" s="8"/>
      <c r="G776" s="14"/>
      <c r="H776" s="8"/>
      <c r="I776" s="8"/>
      <c r="J776" s="8"/>
      <c r="K776" s="27"/>
      <c r="L776" s="8"/>
      <c r="M776" s="27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27"/>
      <c r="B777" s="27"/>
      <c r="C777" s="27"/>
      <c r="D777" s="27"/>
      <c r="E777" s="8"/>
      <c r="F777" s="8"/>
      <c r="G777" s="14"/>
      <c r="H777" s="8"/>
      <c r="I777" s="8"/>
      <c r="J777" s="8"/>
      <c r="K777" s="27"/>
      <c r="L777" s="8"/>
      <c r="M777" s="27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27"/>
      <c r="B778" s="27"/>
      <c r="C778" s="27"/>
      <c r="D778" s="27"/>
      <c r="E778" s="8"/>
      <c r="F778" s="8"/>
      <c r="G778" s="14"/>
      <c r="H778" s="8"/>
      <c r="I778" s="8"/>
      <c r="J778" s="8"/>
      <c r="K778" s="27"/>
      <c r="L778" s="8"/>
      <c r="M778" s="27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27"/>
      <c r="B779" s="27"/>
      <c r="C779" s="27"/>
      <c r="D779" s="27"/>
      <c r="E779" s="8"/>
      <c r="F779" s="8"/>
      <c r="G779" s="14"/>
      <c r="H779" s="8"/>
      <c r="I779" s="8"/>
      <c r="J779" s="8"/>
      <c r="K779" s="27"/>
      <c r="L779" s="8"/>
      <c r="M779" s="27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27"/>
      <c r="B780" s="27"/>
      <c r="C780" s="27"/>
      <c r="D780" s="27"/>
      <c r="E780" s="8"/>
      <c r="F780" s="8"/>
      <c r="G780" s="14"/>
      <c r="H780" s="8"/>
      <c r="I780" s="8"/>
      <c r="J780" s="8"/>
      <c r="K780" s="27"/>
      <c r="L780" s="8"/>
      <c r="M780" s="27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27"/>
      <c r="B781" s="27"/>
      <c r="C781" s="27"/>
      <c r="D781" s="27"/>
      <c r="E781" s="8"/>
      <c r="F781" s="8"/>
      <c r="G781" s="14"/>
      <c r="H781" s="8"/>
      <c r="I781" s="8"/>
      <c r="J781" s="8"/>
      <c r="K781" s="27"/>
      <c r="L781" s="8"/>
      <c r="M781" s="27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27"/>
      <c r="B782" s="27"/>
      <c r="C782" s="27"/>
      <c r="D782" s="27"/>
      <c r="E782" s="8"/>
      <c r="F782" s="8"/>
      <c r="G782" s="14"/>
      <c r="H782" s="8"/>
      <c r="I782" s="8"/>
      <c r="J782" s="8"/>
      <c r="K782" s="27"/>
      <c r="L782" s="8"/>
      <c r="M782" s="27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27"/>
      <c r="B783" s="27"/>
      <c r="C783" s="27"/>
      <c r="D783" s="27"/>
      <c r="E783" s="8"/>
      <c r="F783" s="8"/>
      <c r="G783" s="14"/>
      <c r="H783" s="8"/>
      <c r="I783" s="8"/>
      <c r="J783" s="8"/>
      <c r="K783" s="27"/>
      <c r="L783" s="8"/>
      <c r="M783" s="27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27"/>
      <c r="B784" s="27"/>
      <c r="C784" s="27"/>
      <c r="D784" s="27"/>
      <c r="E784" s="8"/>
      <c r="F784" s="8"/>
      <c r="G784" s="14"/>
      <c r="H784" s="8"/>
      <c r="I784" s="8"/>
      <c r="J784" s="8"/>
      <c r="K784" s="27"/>
      <c r="L784" s="8"/>
      <c r="M784" s="27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27"/>
      <c r="B785" s="27"/>
      <c r="C785" s="27"/>
      <c r="D785" s="27"/>
      <c r="E785" s="8"/>
      <c r="F785" s="8"/>
      <c r="G785" s="14"/>
      <c r="H785" s="8"/>
      <c r="I785" s="8"/>
      <c r="J785" s="8"/>
      <c r="K785" s="27"/>
      <c r="L785" s="8"/>
      <c r="M785" s="27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27"/>
      <c r="B786" s="27"/>
      <c r="C786" s="27"/>
      <c r="D786" s="27"/>
      <c r="E786" s="8"/>
      <c r="F786" s="8"/>
      <c r="G786" s="14"/>
      <c r="H786" s="8"/>
      <c r="I786" s="8"/>
      <c r="J786" s="8"/>
      <c r="K786" s="27"/>
      <c r="L786" s="8"/>
      <c r="M786" s="27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27"/>
      <c r="B787" s="27"/>
      <c r="C787" s="27"/>
      <c r="D787" s="27"/>
      <c r="E787" s="8"/>
      <c r="F787" s="8"/>
      <c r="G787" s="14"/>
      <c r="H787" s="8"/>
      <c r="I787" s="8"/>
      <c r="J787" s="8"/>
      <c r="K787" s="27"/>
      <c r="L787" s="8"/>
      <c r="M787" s="27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27"/>
      <c r="B788" s="27"/>
      <c r="C788" s="27"/>
      <c r="D788" s="27"/>
      <c r="E788" s="8"/>
      <c r="F788" s="8"/>
      <c r="G788" s="14"/>
      <c r="H788" s="8"/>
      <c r="I788" s="8"/>
      <c r="J788" s="8"/>
      <c r="K788" s="27"/>
      <c r="L788" s="8"/>
      <c r="M788" s="27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27"/>
      <c r="B789" s="27"/>
      <c r="C789" s="27"/>
      <c r="D789" s="27"/>
      <c r="E789" s="8"/>
      <c r="F789" s="8"/>
      <c r="G789" s="14"/>
      <c r="H789" s="8"/>
      <c r="I789" s="8"/>
      <c r="J789" s="8"/>
      <c r="K789" s="27"/>
      <c r="L789" s="8"/>
      <c r="M789" s="27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27"/>
      <c r="B790" s="27"/>
      <c r="C790" s="27"/>
      <c r="D790" s="27"/>
      <c r="E790" s="8"/>
      <c r="F790" s="8"/>
      <c r="G790" s="14"/>
      <c r="H790" s="8"/>
      <c r="I790" s="8"/>
      <c r="J790" s="8"/>
      <c r="K790" s="27"/>
      <c r="L790" s="8"/>
      <c r="M790" s="27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27"/>
      <c r="B791" s="27"/>
      <c r="C791" s="27"/>
      <c r="D791" s="27"/>
      <c r="E791" s="8"/>
      <c r="F791" s="8"/>
      <c r="G791" s="14"/>
      <c r="H791" s="8"/>
      <c r="I791" s="8"/>
      <c r="J791" s="8"/>
      <c r="K791" s="27"/>
      <c r="L791" s="8"/>
      <c r="M791" s="27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27"/>
      <c r="B792" s="27"/>
      <c r="C792" s="27"/>
      <c r="D792" s="27"/>
      <c r="E792" s="8"/>
      <c r="F792" s="8"/>
      <c r="G792" s="14"/>
      <c r="H792" s="8"/>
      <c r="I792" s="8"/>
      <c r="J792" s="8"/>
      <c r="K792" s="27"/>
      <c r="L792" s="8"/>
      <c r="M792" s="27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27"/>
      <c r="B793" s="27"/>
      <c r="C793" s="27"/>
      <c r="D793" s="27"/>
      <c r="E793" s="8"/>
      <c r="F793" s="8"/>
      <c r="G793" s="14"/>
      <c r="H793" s="8"/>
      <c r="I793" s="8"/>
      <c r="J793" s="8"/>
      <c r="K793" s="27"/>
      <c r="L793" s="8"/>
      <c r="M793" s="27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27"/>
      <c r="B794" s="27"/>
      <c r="C794" s="27"/>
      <c r="D794" s="27"/>
      <c r="E794" s="8"/>
      <c r="F794" s="8"/>
      <c r="G794" s="14"/>
      <c r="H794" s="8"/>
      <c r="I794" s="8"/>
      <c r="J794" s="8"/>
      <c r="K794" s="27"/>
      <c r="L794" s="8"/>
      <c r="M794" s="27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27"/>
      <c r="B795" s="27"/>
      <c r="C795" s="27"/>
      <c r="D795" s="27"/>
      <c r="E795" s="8"/>
      <c r="F795" s="8"/>
      <c r="G795" s="14"/>
      <c r="H795" s="8"/>
      <c r="I795" s="8"/>
      <c r="J795" s="8"/>
      <c r="K795" s="27"/>
      <c r="L795" s="8"/>
      <c r="M795" s="27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27"/>
      <c r="B796" s="27"/>
      <c r="C796" s="27"/>
      <c r="D796" s="27"/>
      <c r="E796" s="8"/>
      <c r="F796" s="8"/>
      <c r="G796" s="14"/>
      <c r="H796" s="8"/>
      <c r="I796" s="8"/>
      <c r="J796" s="8"/>
      <c r="K796" s="27"/>
      <c r="L796" s="8"/>
      <c r="M796" s="27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27"/>
      <c r="B797" s="27"/>
      <c r="C797" s="27"/>
      <c r="D797" s="27"/>
      <c r="E797" s="8"/>
      <c r="F797" s="8"/>
      <c r="G797" s="14"/>
      <c r="H797" s="8"/>
      <c r="I797" s="8"/>
      <c r="J797" s="8"/>
      <c r="K797" s="27"/>
      <c r="L797" s="8"/>
      <c r="M797" s="27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27"/>
      <c r="B798" s="27"/>
      <c r="C798" s="27"/>
      <c r="D798" s="27"/>
      <c r="E798" s="8"/>
      <c r="F798" s="8"/>
      <c r="G798" s="14"/>
      <c r="H798" s="8"/>
      <c r="I798" s="8"/>
      <c r="J798" s="8"/>
      <c r="K798" s="27"/>
      <c r="L798" s="8"/>
      <c r="M798" s="27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27"/>
      <c r="B799" s="27"/>
      <c r="C799" s="27"/>
      <c r="D799" s="27"/>
      <c r="E799" s="8"/>
      <c r="F799" s="8"/>
      <c r="G799" s="14"/>
      <c r="H799" s="8"/>
      <c r="I799" s="8"/>
      <c r="J799" s="8"/>
      <c r="K799" s="27"/>
      <c r="L799" s="8"/>
      <c r="M799" s="27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27"/>
      <c r="B800" s="27"/>
      <c r="C800" s="27"/>
      <c r="D800" s="27"/>
      <c r="E800" s="8"/>
      <c r="F800" s="8"/>
      <c r="G800" s="14"/>
      <c r="H800" s="8"/>
      <c r="I800" s="8"/>
      <c r="J800" s="8"/>
      <c r="K800" s="27"/>
      <c r="L800" s="8"/>
      <c r="M800" s="27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27"/>
      <c r="B801" s="27"/>
      <c r="C801" s="27"/>
      <c r="D801" s="27"/>
      <c r="E801" s="8"/>
      <c r="F801" s="8"/>
      <c r="G801" s="14"/>
      <c r="H801" s="8"/>
      <c r="I801" s="8"/>
      <c r="J801" s="8"/>
      <c r="K801" s="27"/>
      <c r="L801" s="8"/>
      <c r="M801" s="27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27"/>
      <c r="B802" s="27"/>
      <c r="C802" s="27"/>
      <c r="D802" s="27"/>
      <c r="E802" s="8"/>
      <c r="F802" s="8"/>
      <c r="G802" s="14"/>
      <c r="H802" s="8"/>
      <c r="I802" s="8"/>
      <c r="J802" s="8"/>
      <c r="K802" s="27"/>
      <c r="L802" s="8"/>
      <c r="M802" s="27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27"/>
      <c r="B803" s="27"/>
      <c r="C803" s="27"/>
      <c r="D803" s="27"/>
      <c r="E803" s="8"/>
      <c r="F803" s="8"/>
      <c r="G803" s="14"/>
      <c r="H803" s="8"/>
      <c r="I803" s="8"/>
      <c r="J803" s="8"/>
      <c r="K803" s="27"/>
      <c r="L803" s="8"/>
      <c r="M803" s="27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27"/>
      <c r="B804" s="27"/>
      <c r="C804" s="27"/>
      <c r="D804" s="27"/>
      <c r="E804" s="8"/>
      <c r="F804" s="8"/>
      <c r="G804" s="14"/>
      <c r="H804" s="8"/>
      <c r="I804" s="8"/>
      <c r="J804" s="8"/>
      <c r="K804" s="27"/>
      <c r="L804" s="8"/>
      <c r="M804" s="27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27"/>
      <c r="B805" s="27"/>
      <c r="C805" s="27"/>
      <c r="D805" s="27"/>
      <c r="E805" s="8"/>
      <c r="F805" s="8"/>
      <c r="G805" s="14"/>
      <c r="H805" s="8"/>
      <c r="I805" s="8"/>
      <c r="J805" s="8"/>
      <c r="K805" s="27"/>
      <c r="L805" s="8"/>
      <c r="M805" s="27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27"/>
      <c r="B806" s="27"/>
      <c r="C806" s="27"/>
      <c r="D806" s="27"/>
      <c r="E806" s="8"/>
      <c r="F806" s="8"/>
      <c r="G806" s="14"/>
      <c r="H806" s="8"/>
      <c r="I806" s="8"/>
      <c r="J806" s="8"/>
      <c r="K806" s="27"/>
      <c r="L806" s="8"/>
      <c r="M806" s="27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27"/>
      <c r="B807" s="27"/>
      <c r="C807" s="27"/>
      <c r="D807" s="27"/>
      <c r="E807" s="8"/>
      <c r="F807" s="8"/>
      <c r="G807" s="14"/>
      <c r="H807" s="8"/>
      <c r="I807" s="8"/>
      <c r="J807" s="8"/>
      <c r="K807" s="27"/>
      <c r="L807" s="8"/>
      <c r="M807" s="27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27"/>
      <c r="B808" s="27"/>
      <c r="C808" s="27"/>
      <c r="D808" s="27"/>
      <c r="E808" s="8"/>
      <c r="F808" s="8"/>
      <c r="G808" s="14"/>
      <c r="H808" s="8"/>
      <c r="I808" s="8"/>
      <c r="J808" s="8"/>
      <c r="K808" s="27"/>
      <c r="L808" s="8"/>
      <c r="M808" s="27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27"/>
      <c r="B809" s="27"/>
      <c r="C809" s="27"/>
      <c r="D809" s="27"/>
      <c r="E809" s="8"/>
      <c r="F809" s="8"/>
      <c r="G809" s="14"/>
      <c r="H809" s="8"/>
      <c r="I809" s="8"/>
      <c r="J809" s="8"/>
      <c r="K809" s="27"/>
      <c r="L809" s="8"/>
      <c r="M809" s="27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27"/>
      <c r="B810" s="27"/>
      <c r="C810" s="27"/>
      <c r="D810" s="27"/>
      <c r="E810" s="8"/>
      <c r="F810" s="8"/>
      <c r="G810" s="14"/>
      <c r="H810" s="8"/>
      <c r="I810" s="8"/>
      <c r="J810" s="8"/>
      <c r="K810" s="27"/>
      <c r="L810" s="8"/>
      <c r="M810" s="27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27"/>
      <c r="B811" s="27"/>
      <c r="C811" s="27"/>
      <c r="D811" s="27"/>
      <c r="E811" s="8"/>
      <c r="F811" s="8"/>
      <c r="G811" s="14"/>
      <c r="H811" s="8"/>
      <c r="I811" s="8"/>
      <c r="J811" s="8"/>
      <c r="K811" s="27"/>
      <c r="L811" s="8"/>
      <c r="M811" s="27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27"/>
      <c r="B812" s="27"/>
      <c r="C812" s="27"/>
      <c r="D812" s="27"/>
      <c r="E812" s="8"/>
      <c r="F812" s="8"/>
      <c r="G812" s="14"/>
      <c r="H812" s="8"/>
      <c r="I812" s="8"/>
      <c r="J812" s="8"/>
      <c r="K812" s="27"/>
      <c r="L812" s="8"/>
      <c r="M812" s="27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27"/>
      <c r="B813" s="27"/>
      <c r="C813" s="27"/>
      <c r="D813" s="27"/>
      <c r="E813" s="8"/>
      <c r="F813" s="8"/>
      <c r="G813" s="14"/>
      <c r="H813" s="8"/>
      <c r="I813" s="8"/>
      <c r="J813" s="8"/>
      <c r="K813" s="27"/>
      <c r="L813" s="8"/>
      <c r="M813" s="27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27"/>
      <c r="B814" s="27"/>
      <c r="C814" s="27"/>
      <c r="D814" s="27"/>
      <c r="E814" s="8"/>
      <c r="F814" s="8"/>
      <c r="G814" s="14"/>
      <c r="H814" s="8"/>
      <c r="I814" s="8"/>
      <c r="J814" s="8"/>
      <c r="K814" s="27"/>
      <c r="L814" s="8"/>
      <c r="M814" s="27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27"/>
      <c r="B815" s="27"/>
      <c r="C815" s="27"/>
      <c r="D815" s="27"/>
      <c r="E815" s="8"/>
      <c r="F815" s="8"/>
      <c r="G815" s="14"/>
      <c r="H815" s="8"/>
      <c r="I815" s="8"/>
      <c r="J815" s="8"/>
      <c r="K815" s="27"/>
      <c r="L815" s="8"/>
      <c r="M815" s="27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27"/>
      <c r="B816" s="27"/>
      <c r="C816" s="27"/>
      <c r="D816" s="27"/>
      <c r="E816" s="8"/>
      <c r="F816" s="8"/>
      <c r="G816" s="14"/>
      <c r="H816" s="8"/>
      <c r="I816" s="8"/>
      <c r="J816" s="8"/>
      <c r="K816" s="27"/>
      <c r="L816" s="8"/>
      <c r="M816" s="27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27"/>
      <c r="B817" s="27"/>
      <c r="C817" s="27"/>
      <c r="D817" s="27"/>
      <c r="E817" s="8"/>
      <c r="F817" s="8"/>
      <c r="G817" s="14"/>
      <c r="H817" s="8"/>
      <c r="I817" s="8"/>
      <c r="J817" s="8"/>
      <c r="K817" s="27"/>
      <c r="L817" s="8"/>
      <c r="M817" s="27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27"/>
      <c r="B818" s="27"/>
      <c r="C818" s="27"/>
      <c r="D818" s="27"/>
      <c r="E818" s="8"/>
      <c r="F818" s="8"/>
      <c r="G818" s="14"/>
      <c r="H818" s="8"/>
      <c r="I818" s="8"/>
      <c r="J818" s="8"/>
      <c r="K818" s="27"/>
      <c r="L818" s="8"/>
      <c r="M818" s="27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27"/>
      <c r="B819" s="27"/>
      <c r="C819" s="27"/>
      <c r="D819" s="27"/>
      <c r="E819" s="8"/>
      <c r="F819" s="8"/>
      <c r="G819" s="14"/>
      <c r="H819" s="8"/>
      <c r="I819" s="8"/>
      <c r="J819" s="8"/>
      <c r="K819" s="27"/>
      <c r="L819" s="8"/>
      <c r="M819" s="27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27"/>
      <c r="B820" s="27"/>
      <c r="C820" s="27"/>
      <c r="D820" s="27"/>
      <c r="E820" s="8"/>
      <c r="F820" s="8"/>
      <c r="G820" s="14"/>
      <c r="H820" s="8"/>
      <c r="I820" s="8"/>
      <c r="J820" s="8"/>
      <c r="K820" s="27"/>
      <c r="L820" s="8"/>
      <c r="M820" s="27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27"/>
      <c r="B821" s="27"/>
      <c r="C821" s="27"/>
      <c r="D821" s="27"/>
      <c r="E821" s="8"/>
      <c r="F821" s="8"/>
      <c r="G821" s="14"/>
      <c r="H821" s="8"/>
      <c r="I821" s="8"/>
      <c r="J821" s="8"/>
      <c r="K821" s="27"/>
      <c r="L821" s="8"/>
      <c r="M821" s="27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27"/>
      <c r="B822" s="27"/>
      <c r="C822" s="27"/>
      <c r="D822" s="27"/>
      <c r="E822" s="8"/>
      <c r="F822" s="8"/>
      <c r="G822" s="14"/>
      <c r="H822" s="8"/>
      <c r="I822" s="8"/>
      <c r="J822" s="8"/>
      <c r="K822" s="27"/>
      <c r="L822" s="8"/>
      <c r="M822" s="27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27"/>
      <c r="B823" s="27"/>
      <c r="C823" s="27"/>
      <c r="D823" s="27"/>
      <c r="E823" s="8"/>
      <c r="F823" s="8"/>
      <c r="G823" s="14"/>
      <c r="H823" s="8"/>
      <c r="I823" s="8"/>
      <c r="J823" s="8"/>
      <c r="K823" s="27"/>
      <c r="L823" s="8"/>
      <c r="M823" s="27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27"/>
      <c r="B824" s="27"/>
      <c r="C824" s="27"/>
      <c r="D824" s="27"/>
      <c r="E824" s="8"/>
      <c r="F824" s="8"/>
      <c r="G824" s="14"/>
      <c r="H824" s="8"/>
      <c r="I824" s="8"/>
      <c r="J824" s="8"/>
      <c r="K824" s="27"/>
      <c r="L824" s="8"/>
      <c r="M824" s="27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27"/>
      <c r="B825" s="27"/>
      <c r="C825" s="27"/>
      <c r="D825" s="27"/>
      <c r="E825" s="8"/>
      <c r="F825" s="8"/>
      <c r="G825" s="14"/>
      <c r="H825" s="8"/>
      <c r="I825" s="8"/>
      <c r="J825" s="8"/>
      <c r="K825" s="27"/>
      <c r="L825" s="8"/>
      <c r="M825" s="27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27"/>
      <c r="B826" s="27"/>
      <c r="C826" s="27"/>
      <c r="D826" s="27"/>
      <c r="E826" s="8"/>
      <c r="F826" s="8"/>
      <c r="G826" s="14"/>
      <c r="H826" s="8"/>
      <c r="I826" s="8"/>
      <c r="J826" s="8"/>
      <c r="K826" s="27"/>
      <c r="L826" s="8"/>
      <c r="M826" s="27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27"/>
      <c r="B827" s="27"/>
      <c r="C827" s="27"/>
      <c r="D827" s="27"/>
      <c r="E827" s="8"/>
      <c r="F827" s="8"/>
      <c r="G827" s="14"/>
      <c r="H827" s="8"/>
      <c r="I827" s="8"/>
      <c r="J827" s="8"/>
      <c r="K827" s="27"/>
      <c r="L827" s="8"/>
      <c r="M827" s="27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27"/>
      <c r="B828" s="27"/>
      <c r="C828" s="27"/>
      <c r="D828" s="27"/>
      <c r="E828" s="8"/>
      <c r="F828" s="8"/>
      <c r="G828" s="14"/>
      <c r="H828" s="8"/>
      <c r="I828" s="8"/>
      <c r="J828" s="8"/>
      <c r="K828" s="27"/>
      <c r="L828" s="8"/>
      <c r="M828" s="27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27"/>
      <c r="B829" s="27"/>
      <c r="C829" s="27"/>
      <c r="D829" s="27"/>
      <c r="E829" s="8"/>
      <c r="F829" s="8"/>
      <c r="G829" s="14"/>
      <c r="H829" s="8"/>
      <c r="I829" s="8"/>
      <c r="J829" s="8"/>
      <c r="K829" s="27"/>
      <c r="L829" s="8"/>
      <c r="M829" s="27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27"/>
      <c r="B830" s="27"/>
      <c r="C830" s="27"/>
      <c r="D830" s="27"/>
      <c r="E830" s="8"/>
      <c r="F830" s="8"/>
      <c r="G830" s="14"/>
      <c r="H830" s="8"/>
      <c r="I830" s="8"/>
      <c r="J830" s="8"/>
      <c r="K830" s="27"/>
      <c r="L830" s="8"/>
      <c r="M830" s="27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27"/>
      <c r="B831" s="27"/>
      <c r="C831" s="27"/>
      <c r="D831" s="27"/>
      <c r="E831" s="8"/>
      <c r="F831" s="8"/>
      <c r="G831" s="14"/>
      <c r="H831" s="8"/>
      <c r="I831" s="8"/>
      <c r="J831" s="8"/>
      <c r="K831" s="27"/>
      <c r="L831" s="8"/>
      <c r="M831" s="27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27"/>
      <c r="B832" s="27"/>
      <c r="C832" s="27"/>
      <c r="D832" s="27"/>
      <c r="E832" s="8"/>
      <c r="F832" s="8"/>
      <c r="G832" s="14"/>
      <c r="H832" s="8"/>
      <c r="I832" s="8"/>
      <c r="J832" s="8"/>
      <c r="K832" s="27"/>
      <c r="L832" s="8"/>
      <c r="M832" s="27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27"/>
      <c r="B833" s="27"/>
      <c r="C833" s="27"/>
      <c r="D833" s="27"/>
      <c r="E833" s="8"/>
      <c r="F833" s="8"/>
      <c r="G833" s="14"/>
      <c r="H833" s="8"/>
      <c r="I833" s="8"/>
      <c r="J833" s="8"/>
      <c r="K833" s="27"/>
      <c r="L833" s="8"/>
      <c r="M833" s="27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27"/>
      <c r="B834" s="27"/>
      <c r="C834" s="27"/>
      <c r="D834" s="27"/>
      <c r="E834" s="8"/>
      <c r="F834" s="8"/>
      <c r="G834" s="14"/>
      <c r="H834" s="8"/>
      <c r="I834" s="8"/>
      <c r="J834" s="8"/>
      <c r="K834" s="27"/>
      <c r="L834" s="8"/>
      <c r="M834" s="27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27"/>
      <c r="B835" s="27"/>
      <c r="C835" s="27"/>
      <c r="D835" s="27"/>
      <c r="E835" s="8"/>
      <c r="F835" s="8"/>
      <c r="G835" s="14"/>
      <c r="H835" s="8"/>
      <c r="I835" s="8"/>
      <c r="J835" s="8"/>
      <c r="K835" s="27"/>
      <c r="L835" s="8"/>
      <c r="M835" s="27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27"/>
      <c r="B836" s="27"/>
      <c r="C836" s="27"/>
      <c r="D836" s="27"/>
      <c r="E836" s="8"/>
      <c r="F836" s="8"/>
      <c r="G836" s="14"/>
      <c r="H836" s="8"/>
      <c r="I836" s="8"/>
      <c r="J836" s="8"/>
      <c r="K836" s="27"/>
      <c r="L836" s="8"/>
      <c r="M836" s="27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27"/>
      <c r="B837" s="27"/>
      <c r="C837" s="27"/>
      <c r="D837" s="27"/>
      <c r="E837" s="8"/>
      <c r="F837" s="8"/>
      <c r="G837" s="14"/>
      <c r="H837" s="8"/>
      <c r="I837" s="8"/>
      <c r="J837" s="8"/>
      <c r="K837" s="27"/>
      <c r="L837" s="8"/>
      <c r="M837" s="27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27"/>
      <c r="B838" s="27"/>
      <c r="C838" s="27"/>
      <c r="D838" s="27"/>
      <c r="E838" s="8"/>
      <c r="F838" s="8"/>
      <c r="G838" s="14"/>
      <c r="H838" s="8"/>
      <c r="I838" s="8"/>
      <c r="J838" s="8"/>
      <c r="K838" s="27"/>
      <c r="L838" s="8"/>
      <c r="M838" s="27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27"/>
      <c r="B839" s="27"/>
      <c r="C839" s="27"/>
      <c r="D839" s="27"/>
      <c r="E839" s="8"/>
      <c r="F839" s="8"/>
      <c r="G839" s="14"/>
      <c r="H839" s="8"/>
      <c r="I839" s="8"/>
      <c r="J839" s="8"/>
      <c r="K839" s="27"/>
      <c r="L839" s="8"/>
      <c r="M839" s="27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27"/>
      <c r="B840" s="27"/>
      <c r="C840" s="27"/>
      <c r="D840" s="27"/>
      <c r="E840" s="8"/>
      <c r="F840" s="8"/>
      <c r="G840" s="14"/>
      <c r="H840" s="8"/>
      <c r="I840" s="8"/>
      <c r="J840" s="8"/>
      <c r="K840" s="27"/>
      <c r="L840" s="8"/>
      <c r="M840" s="27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27"/>
      <c r="B841" s="27"/>
      <c r="C841" s="27"/>
      <c r="D841" s="27"/>
      <c r="E841" s="8"/>
      <c r="F841" s="8"/>
      <c r="G841" s="14"/>
      <c r="H841" s="8"/>
      <c r="I841" s="8"/>
      <c r="J841" s="8"/>
      <c r="K841" s="27"/>
      <c r="L841" s="8"/>
      <c r="M841" s="27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27"/>
      <c r="B842" s="27"/>
      <c r="C842" s="27"/>
      <c r="D842" s="27"/>
      <c r="E842" s="8"/>
      <c r="F842" s="8"/>
      <c r="G842" s="14"/>
      <c r="H842" s="8"/>
      <c r="I842" s="8"/>
      <c r="J842" s="8"/>
      <c r="K842" s="27"/>
      <c r="L842" s="8"/>
      <c r="M842" s="27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27"/>
      <c r="B843" s="27"/>
      <c r="C843" s="27"/>
      <c r="D843" s="27"/>
      <c r="E843" s="8"/>
      <c r="F843" s="8"/>
      <c r="G843" s="14"/>
      <c r="H843" s="8"/>
      <c r="I843" s="8"/>
      <c r="J843" s="8"/>
      <c r="K843" s="27"/>
      <c r="L843" s="8"/>
      <c r="M843" s="27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27"/>
      <c r="B844" s="27"/>
      <c r="C844" s="27"/>
      <c r="D844" s="27"/>
      <c r="E844" s="8"/>
      <c r="F844" s="8"/>
      <c r="G844" s="14"/>
      <c r="H844" s="8"/>
      <c r="I844" s="8"/>
      <c r="J844" s="8"/>
      <c r="K844" s="27"/>
      <c r="L844" s="8"/>
      <c r="M844" s="27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27"/>
      <c r="B845" s="27"/>
      <c r="C845" s="27"/>
      <c r="D845" s="27"/>
      <c r="E845" s="8"/>
      <c r="F845" s="8"/>
      <c r="G845" s="14"/>
      <c r="H845" s="8"/>
      <c r="I845" s="8"/>
      <c r="J845" s="8"/>
      <c r="K845" s="27"/>
      <c r="L845" s="8"/>
      <c r="M845" s="27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27"/>
      <c r="B846" s="27"/>
      <c r="C846" s="27"/>
      <c r="D846" s="27"/>
      <c r="E846" s="8"/>
      <c r="F846" s="8"/>
      <c r="G846" s="14"/>
      <c r="H846" s="8"/>
      <c r="I846" s="8"/>
      <c r="J846" s="8"/>
      <c r="K846" s="27"/>
      <c r="L846" s="8"/>
      <c r="M846" s="27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27"/>
      <c r="B847" s="27"/>
      <c r="C847" s="27"/>
      <c r="D847" s="27"/>
      <c r="E847" s="8"/>
      <c r="F847" s="8"/>
      <c r="G847" s="14"/>
      <c r="H847" s="8"/>
      <c r="I847" s="8"/>
      <c r="J847" s="8"/>
      <c r="K847" s="27"/>
      <c r="L847" s="8"/>
      <c r="M847" s="27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27"/>
      <c r="B848" s="27"/>
      <c r="C848" s="27"/>
      <c r="D848" s="27"/>
      <c r="E848" s="8"/>
      <c r="F848" s="8"/>
      <c r="G848" s="14"/>
      <c r="H848" s="8"/>
      <c r="I848" s="8"/>
      <c r="J848" s="8"/>
      <c r="K848" s="27"/>
      <c r="L848" s="8"/>
      <c r="M848" s="27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27"/>
      <c r="B849" s="27"/>
      <c r="C849" s="27"/>
      <c r="D849" s="27"/>
      <c r="E849" s="8"/>
      <c r="F849" s="8"/>
      <c r="G849" s="14"/>
      <c r="H849" s="8"/>
      <c r="I849" s="8"/>
      <c r="J849" s="8"/>
      <c r="K849" s="27"/>
      <c r="L849" s="8"/>
      <c r="M849" s="27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27"/>
      <c r="B850" s="27"/>
      <c r="C850" s="27"/>
      <c r="D850" s="27"/>
      <c r="E850" s="8"/>
      <c r="F850" s="8"/>
      <c r="G850" s="14"/>
      <c r="H850" s="8"/>
      <c r="I850" s="8"/>
      <c r="J850" s="8"/>
      <c r="K850" s="27"/>
      <c r="L850" s="8"/>
      <c r="M850" s="27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27"/>
      <c r="B851" s="27"/>
      <c r="C851" s="27"/>
      <c r="D851" s="27"/>
      <c r="E851" s="8"/>
      <c r="F851" s="8"/>
      <c r="G851" s="14"/>
      <c r="H851" s="8"/>
      <c r="I851" s="8"/>
      <c r="J851" s="8"/>
      <c r="K851" s="27"/>
      <c r="L851" s="8"/>
      <c r="M851" s="27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27"/>
      <c r="B852" s="27"/>
      <c r="C852" s="27"/>
      <c r="D852" s="27"/>
      <c r="E852" s="8"/>
      <c r="F852" s="8"/>
      <c r="G852" s="14"/>
      <c r="H852" s="8"/>
      <c r="I852" s="8"/>
      <c r="J852" s="8"/>
      <c r="K852" s="27"/>
      <c r="L852" s="8"/>
      <c r="M852" s="27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27"/>
      <c r="B853" s="27"/>
      <c r="C853" s="27"/>
      <c r="D853" s="27"/>
      <c r="E853" s="8"/>
      <c r="F853" s="8"/>
      <c r="G853" s="14"/>
      <c r="H853" s="8"/>
      <c r="I853" s="8"/>
      <c r="J853" s="8"/>
      <c r="K853" s="27"/>
      <c r="L853" s="8"/>
      <c r="M853" s="27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27"/>
      <c r="B854" s="27"/>
      <c r="C854" s="27"/>
      <c r="D854" s="27"/>
      <c r="E854" s="8"/>
      <c r="F854" s="8"/>
      <c r="G854" s="14"/>
      <c r="H854" s="8"/>
      <c r="I854" s="8"/>
      <c r="J854" s="8"/>
      <c r="K854" s="27"/>
      <c r="L854" s="8"/>
      <c r="M854" s="27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27"/>
      <c r="B855" s="27"/>
      <c r="C855" s="27"/>
      <c r="D855" s="27"/>
      <c r="E855" s="8"/>
      <c r="F855" s="8"/>
      <c r="G855" s="14"/>
      <c r="H855" s="8"/>
      <c r="I855" s="8"/>
      <c r="J855" s="8"/>
      <c r="K855" s="27"/>
      <c r="L855" s="8"/>
      <c r="M855" s="27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27"/>
      <c r="B856" s="27"/>
      <c r="C856" s="27"/>
      <c r="D856" s="27"/>
      <c r="E856" s="8"/>
      <c r="F856" s="8"/>
      <c r="G856" s="14"/>
      <c r="H856" s="8"/>
      <c r="I856" s="8"/>
      <c r="J856" s="8"/>
      <c r="K856" s="27"/>
      <c r="L856" s="8"/>
      <c r="M856" s="27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27"/>
      <c r="B857" s="27"/>
      <c r="C857" s="27"/>
      <c r="D857" s="27"/>
      <c r="E857" s="8"/>
      <c r="F857" s="8"/>
      <c r="G857" s="14"/>
      <c r="H857" s="8"/>
      <c r="I857" s="8"/>
      <c r="J857" s="8"/>
      <c r="K857" s="27"/>
      <c r="L857" s="8"/>
      <c r="M857" s="27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27"/>
      <c r="B858" s="27"/>
      <c r="C858" s="27"/>
      <c r="D858" s="27"/>
      <c r="E858" s="8"/>
      <c r="F858" s="8"/>
      <c r="G858" s="14"/>
      <c r="H858" s="8"/>
      <c r="I858" s="8"/>
      <c r="J858" s="8"/>
      <c r="K858" s="27"/>
      <c r="L858" s="8"/>
      <c r="M858" s="27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27"/>
      <c r="B859" s="27"/>
      <c r="C859" s="27"/>
      <c r="D859" s="27"/>
      <c r="E859" s="8"/>
      <c r="F859" s="8"/>
      <c r="G859" s="14"/>
      <c r="H859" s="8"/>
      <c r="I859" s="8"/>
      <c r="J859" s="8"/>
      <c r="K859" s="27"/>
      <c r="L859" s="8"/>
      <c r="M859" s="27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27"/>
      <c r="B860" s="27"/>
      <c r="C860" s="27"/>
      <c r="D860" s="27"/>
      <c r="E860" s="8"/>
      <c r="F860" s="8"/>
      <c r="G860" s="14"/>
      <c r="H860" s="8"/>
      <c r="I860" s="8"/>
      <c r="J860" s="8"/>
      <c r="K860" s="27"/>
      <c r="L860" s="8"/>
      <c r="M860" s="27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27"/>
      <c r="B861" s="27"/>
      <c r="C861" s="27"/>
      <c r="D861" s="27"/>
      <c r="E861" s="8"/>
      <c r="F861" s="8"/>
      <c r="G861" s="14"/>
      <c r="H861" s="8"/>
      <c r="I861" s="8"/>
      <c r="J861" s="8"/>
      <c r="K861" s="27"/>
      <c r="L861" s="8"/>
      <c r="M861" s="27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27"/>
      <c r="B862" s="27"/>
      <c r="C862" s="27"/>
      <c r="D862" s="27"/>
      <c r="E862" s="8"/>
      <c r="F862" s="8"/>
      <c r="G862" s="14"/>
      <c r="H862" s="8"/>
      <c r="I862" s="8"/>
      <c r="J862" s="8"/>
      <c r="K862" s="27"/>
      <c r="L862" s="8"/>
      <c r="M862" s="27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27"/>
      <c r="B863" s="27"/>
      <c r="C863" s="27"/>
      <c r="D863" s="27"/>
      <c r="E863" s="8"/>
      <c r="F863" s="8"/>
      <c r="G863" s="14"/>
      <c r="H863" s="8"/>
      <c r="I863" s="8"/>
      <c r="J863" s="8"/>
      <c r="K863" s="27"/>
      <c r="L863" s="8"/>
      <c r="M863" s="27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27"/>
      <c r="B864" s="27"/>
      <c r="C864" s="27"/>
      <c r="D864" s="27"/>
      <c r="E864" s="8"/>
      <c r="F864" s="8"/>
      <c r="G864" s="14"/>
      <c r="H864" s="8"/>
      <c r="I864" s="8"/>
      <c r="J864" s="8"/>
      <c r="K864" s="27"/>
      <c r="L864" s="8"/>
      <c r="M864" s="27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27"/>
      <c r="B865" s="27"/>
      <c r="C865" s="27"/>
      <c r="D865" s="27"/>
      <c r="E865" s="8"/>
      <c r="F865" s="8"/>
      <c r="G865" s="14"/>
      <c r="H865" s="8"/>
      <c r="I865" s="8"/>
      <c r="J865" s="8"/>
      <c r="K865" s="27"/>
      <c r="L865" s="8"/>
      <c r="M865" s="27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27"/>
      <c r="B866" s="27"/>
      <c r="C866" s="27"/>
      <c r="D866" s="27"/>
      <c r="E866" s="8"/>
      <c r="F866" s="8"/>
      <c r="G866" s="14"/>
      <c r="H866" s="8"/>
      <c r="I866" s="8"/>
      <c r="J866" s="8"/>
      <c r="K866" s="27"/>
      <c r="L866" s="8"/>
      <c r="M866" s="27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27"/>
      <c r="B867" s="27"/>
      <c r="C867" s="27"/>
      <c r="D867" s="27"/>
      <c r="E867" s="8"/>
      <c r="F867" s="8"/>
      <c r="G867" s="14"/>
      <c r="H867" s="8"/>
      <c r="I867" s="8"/>
      <c r="J867" s="8"/>
      <c r="K867" s="27"/>
      <c r="L867" s="8"/>
      <c r="M867" s="27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27"/>
      <c r="B868" s="27"/>
      <c r="C868" s="27"/>
      <c r="D868" s="27"/>
      <c r="E868" s="8"/>
      <c r="F868" s="8"/>
      <c r="G868" s="14"/>
      <c r="H868" s="8"/>
      <c r="I868" s="8"/>
      <c r="J868" s="8"/>
      <c r="K868" s="27"/>
      <c r="L868" s="8"/>
      <c r="M868" s="27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27"/>
      <c r="B869" s="27"/>
      <c r="C869" s="27"/>
      <c r="D869" s="27"/>
      <c r="E869" s="8"/>
      <c r="F869" s="8"/>
      <c r="G869" s="14"/>
      <c r="H869" s="8"/>
      <c r="I869" s="8"/>
      <c r="J869" s="8"/>
      <c r="K869" s="27"/>
      <c r="L869" s="8"/>
      <c r="M869" s="27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27"/>
      <c r="B870" s="27"/>
      <c r="C870" s="27"/>
      <c r="D870" s="27"/>
      <c r="E870" s="8"/>
      <c r="F870" s="8"/>
      <c r="G870" s="14"/>
      <c r="H870" s="8"/>
      <c r="I870" s="8"/>
      <c r="J870" s="8"/>
      <c r="K870" s="27"/>
      <c r="L870" s="8"/>
      <c r="M870" s="27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27"/>
      <c r="B871" s="27"/>
      <c r="C871" s="27"/>
      <c r="D871" s="27"/>
      <c r="E871" s="8"/>
      <c r="F871" s="8"/>
      <c r="G871" s="14"/>
      <c r="H871" s="8"/>
      <c r="I871" s="8"/>
      <c r="J871" s="8"/>
      <c r="K871" s="27"/>
      <c r="L871" s="8"/>
      <c r="M871" s="27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27"/>
      <c r="B872" s="27"/>
      <c r="C872" s="27"/>
      <c r="D872" s="27"/>
      <c r="E872" s="8"/>
      <c r="F872" s="8"/>
      <c r="G872" s="14"/>
      <c r="H872" s="8"/>
      <c r="I872" s="8"/>
      <c r="J872" s="8"/>
      <c r="K872" s="27"/>
      <c r="L872" s="8"/>
      <c r="M872" s="27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27"/>
      <c r="B873" s="27"/>
      <c r="C873" s="27"/>
      <c r="D873" s="27"/>
      <c r="E873" s="8"/>
      <c r="F873" s="8"/>
      <c r="G873" s="14"/>
      <c r="H873" s="8"/>
      <c r="I873" s="8"/>
      <c r="J873" s="8"/>
      <c r="K873" s="27"/>
      <c r="L873" s="8"/>
      <c r="M873" s="27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27"/>
      <c r="B874" s="27"/>
      <c r="C874" s="27"/>
      <c r="D874" s="27"/>
      <c r="E874" s="8"/>
      <c r="F874" s="8"/>
      <c r="G874" s="14"/>
      <c r="H874" s="8"/>
      <c r="I874" s="8"/>
      <c r="J874" s="8"/>
      <c r="K874" s="27"/>
      <c r="L874" s="8"/>
      <c r="M874" s="27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27"/>
      <c r="B875" s="27"/>
      <c r="C875" s="27"/>
      <c r="D875" s="27"/>
      <c r="E875" s="8"/>
      <c r="F875" s="8"/>
      <c r="G875" s="14"/>
      <c r="H875" s="8"/>
      <c r="I875" s="8"/>
      <c r="J875" s="8"/>
      <c r="K875" s="27"/>
      <c r="L875" s="8"/>
      <c r="M875" s="27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27"/>
      <c r="B876" s="27"/>
      <c r="C876" s="27"/>
      <c r="D876" s="27"/>
      <c r="E876" s="8"/>
      <c r="F876" s="8"/>
      <c r="G876" s="14"/>
      <c r="H876" s="8"/>
      <c r="I876" s="8"/>
      <c r="J876" s="8"/>
      <c r="K876" s="27"/>
      <c r="L876" s="8"/>
      <c r="M876" s="27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27"/>
      <c r="B877" s="27"/>
      <c r="C877" s="27"/>
      <c r="D877" s="27"/>
      <c r="E877" s="8"/>
      <c r="F877" s="8"/>
      <c r="G877" s="14"/>
      <c r="H877" s="8"/>
      <c r="I877" s="8"/>
      <c r="J877" s="8"/>
      <c r="K877" s="27"/>
      <c r="L877" s="8"/>
      <c r="M877" s="27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27"/>
      <c r="B878" s="27"/>
      <c r="C878" s="27"/>
      <c r="D878" s="27"/>
      <c r="E878" s="8"/>
      <c r="F878" s="8"/>
      <c r="G878" s="14"/>
      <c r="H878" s="8"/>
      <c r="I878" s="8"/>
      <c r="J878" s="8"/>
      <c r="K878" s="27"/>
      <c r="L878" s="8"/>
      <c r="M878" s="27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27"/>
      <c r="B879" s="27"/>
      <c r="C879" s="27"/>
      <c r="D879" s="27"/>
      <c r="E879" s="8"/>
      <c r="F879" s="8"/>
      <c r="G879" s="14"/>
      <c r="H879" s="8"/>
      <c r="I879" s="8"/>
      <c r="J879" s="8"/>
      <c r="K879" s="27"/>
      <c r="L879" s="8"/>
      <c r="M879" s="27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27"/>
      <c r="B880" s="27"/>
      <c r="C880" s="27"/>
      <c r="D880" s="27"/>
      <c r="E880" s="8"/>
      <c r="F880" s="8"/>
      <c r="G880" s="14"/>
      <c r="H880" s="8"/>
      <c r="I880" s="8"/>
      <c r="J880" s="8"/>
      <c r="K880" s="27"/>
      <c r="L880" s="8"/>
      <c r="M880" s="27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27"/>
      <c r="B881" s="27"/>
      <c r="C881" s="27"/>
      <c r="D881" s="27"/>
      <c r="E881" s="8"/>
      <c r="F881" s="8"/>
      <c r="G881" s="14"/>
      <c r="H881" s="8"/>
      <c r="I881" s="8"/>
      <c r="J881" s="8"/>
      <c r="K881" s="27"/>
      <c r="L881" s="8"/>
      <c r="M881" s="27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27"/>
      <c r="B882" s="27"/>
      <c r="C882" s="27"/>
      <c r="D882" s="27"/>
      <c r="E882" s="8"/>
      <c r="F882" s="8"/>
      <c r="G882" s="14"/>
      <c r="H882" s="8"/>
      <c r="I882" s="8"/>
      <c r="J882" s="8"/>
      <c r="K882" s="27"/>
      <c r="L882" s="8"/>
      <c r="M882" s="27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27"/>
      <c r="B883" s="27"/>
      <c r="C883" s="27"/>
      <c r="D883" s="27"/>
      <c r="E883" s="8"/>
      <c r="F883" s="8"/>
      <c r="G883" s="14"/>
      <c r="H883" s="8"/>
      <c r="I883" s="8"/>
      <c r="J883" s="8"/>
      <c r="K883" s="27"/>
      <c r="L883" s="8"/>
      <c r="M883" s="27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27"/>
      <c r="B884" s="27"/>
      <c r="C884" s="27"/>
      <c r="D884" s="27"/>
      <c r="E884" s="8"/>
      <c r="F884" s="8"/>
      <c r="G884" s="14"/>
      <c r="H884" s="8"/>
      <c r="I884" s="8"/>
      <c r="J884" s="8"/>
      <c r="K884" s="27"/>
      <c r="L884" s="8"/>
      <c r="M884" s="27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27"/>
      <c r="B885" s="27"/>
      <c r="C885" s="27"/>
      <c r="D885" s="27"/>
      <c r="E885" s="8"/>
      <c r="F885" s="8"/>
      <c r="G885" s="14"/>
      <c r="H885" s="8"/>
      <c r="I885" s="8"/>
      <c r="J885" s="8"/>
      <c r="K885" s="27"/>
      <c r="L885" s="8"/>
      <c r="M885" s="27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27"/>
      <c r="B886" s="27"/>
      <c r="C886" s="27"/>
      <c r="D886" s="27"/>
      <c r="E886" s="8"/>
      <c r="F886" s="8"/>
      <c r="G886" s="14"/>
      <c r="H886" s="8"/>
      <c r="I886" s="8"/>
      <c r="J886" s="8"/>
      <c r="K886" s="27"/>
      <c r="L886" s="8"/>
      <c r="M886" s="27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27"/>
      <c r="B887" s="27"/>
      <c r="C887" s="27"/>
      <c r="D887" s="27"/>
      <c r="E887" s="8"/>
      <c r="F887" s="8"/>
      <c r="G887" s="14"/>
      <c r="H887" s="8"/>
      <c r="I887" s="8"/>
      <c r="J887" s="8"/>
      <c r="K887" s="27"/>
      <c r="L887" s="8"/>
      <c r="M887" s="27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27"/>
      <c r="B888" s="27"/>
      <c r="C888" s="27"/>
      <c r="D888" s="27"/>
      <c r="E888" s="8"/>
      <c r="F888" s="8"/>
      <c r="G888" s="14"/>
      <c r="H888" s="8"/>
      <c r="I888" s="8"/>
      <c r="J888" s="8"/>
      <c r="K888" s="27"/>
      <c r="L888" s="8"/>
      <c r="M888" s="27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27"/>
      <c r="B889" s="27"/>
      <c r="C889" s="27"/>
      <c r="D889" s="27"/>
      <c r="E889" s="8"/>
      <c r="F889" s="8"/>
      <c r="G889" s="14"/>
      <c r="H889" s="8"/>
      <c r="I889" s="8"/>
      <c r="J889" s="8"/>
      <c r="K889" s="27"/>
      <c r="L889" s="8"/>
      <c r="M889" s="27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27"/>
      <c r="B890" s="27"/>
      <c r="C890" s="27"/>
      <c r="D890" s="27"/>
      <c r="E890" s="8"/>
      <c r="F890" s="8"/>
      <c r="G890" s="14"/>
      <c r="H890" s="8"/>
      <c r="I890" s="8"/>
      <c r="J890" s="8"/>
      <c r="K890" s="27"/>
      <c r="L890" s="8"/>
      <c r="M890" s="27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27"/>
      <c r="B891" s="27"/>
      <c r="C891" s="27"/>
      <c r="D891" s="27"/>
      <c r="E891" s="8"/>
      <c r="F891" s="8"/>
      <c r="G891" s="14"/>
      <c r="H891" s="8"/>
      <c r="I891" s="8"/>
      <c r="J891" s="8"/>
      <c r="K891" s="27"/>
      <c r="L891" s="8"/>
      <c r="M891" s="27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27"/>
      <c r="B892" s="27"/>
      <c r="C892" s="27"/>
      <c r="D892" s="27"/>
      <c r="E892" s="8"/>
      <c r="F892" s="8"/>
      <c r="G892" s="14"/>
      <c r="H892" s="8"/>
      <c r="I892" s="8"/>
      <c r="J892" s="8"/>
      <c r="K892" s="27"/>
      <c r="L892" s="8"/>
      <c r="M892" s="27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27"/>
      <c r="B893" s="27"/>
      <c r="C893" s="27"/>
      <c r="D893" s="27"/>
      <c r="E893" s="8"/>
      <c r="F893" s="8"/>
      <c r="G893" s="14"/>
      <c r="H893" s="8"/>
      <c r="I893" s="8"/>
      <c r="J893" s="8"/>
      <c r="K893" s="27"/>
      <c r="L893" s="8"/>
      <c r="M893" s="27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27"/>
      <c r="B894" s="27"/>
      <c r="C894" s="27"/>
      <c r="D894" s="27"/>
      <c r="E894" s="8"/>
      <c r="F894" s="8"/>
      <c r="G894" s="14"/>
      <c r="H894" s="8"/>
      <c r="I894" s="8"/>
      <c r="J894" s="8"/>
      <c r="K894" s="27"/>
      <c r="L894" s="8"/>
      <c r="M894" s="27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27"/>
      <c r="B895" s="27"/>
      <c r="C895" s="27"/>
      <c r="D895" s="27"/>
      <c r="E895" s="8"/>
      <c r="F895" s="8"/>
      <c r="G895" s="14"/>
      <c r="H895" s="8"/>
      <c r="I895" s="8"/>
      <c r="J895" s="8"/>
      <c r="K895" s="27"/>
      <c r="L895" s="8"/>
      <c r="M895" s="27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27"/>
      <c r="B896" s="27"/>
      <c r="C896" s="27"/>
      <c r="D896" s="27"/>
      <c r="E896" s="8"/>
      <c r="F896" s="8"/>
      <c r="G896" s="14"/>
      <c r="H896" s="8"/>
      <c r="I896" s="8"/>
      <c r="J896" s="8"/>
      <c r="K896" s="27"/>
      <c r="L896" s="8"/>
      <c r="M896" s="27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27"/>
      <c r="B897" s="27"/>
      <c r="C897" s="27"/>
      <c r="D897" s="27"/>
      <c r="E897" s="8"/>
      <c r="F897" s="8"/>
      <c r="G897" s="14"/>
      <c r="H897" s="8"/>
      <c r="I897" s="8"/>
      <c r="J897" s="8"/>
      <c r="K897" s="27"/>
      <c r="L897" s="8"/>
      <c r="M897" s="27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27"/>
      <c r="B898" s="27"/>
      <c r="C898" s="27"/>
      <c r="D898" s="27"/>
      <c r="E898" s="8"/>
      <c r="F898" s="8"/>
      <c r="G898" s="14"/>
      <c r="H898" s="8"/>
      <c r="I898" s="8"/>
      <c r="J898" s="8"/>
      <c r="K898" s="27"/>
      <c r="L898" s="8"/>
      <c r="M898" s="27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27"/>
      <c r="B899" s="27"/>
      <c r="C899" s="27"/>
      <c r="D899" s="27"/>
      <c r="E899" s="8"/>
      <c r="F899" s="8"/>
      <c r="G899" s="14"/>
      <c r="H899" s="8"/>
      <c r="I899" s="8"/>
      <c r="J899" s="8"/>
      <c r="K899" s="27"/>
      <c r="L899" s="8"/>
      <c r="M899" s="27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27"/>
      <c r="B900" s="27"/>
      <c r="C900" s="27"/>
      <c r="D900" s="27"/>
      <c r="E900" s="8"/>
      <c r="F900" s="8"/>
      <c r="G900" s="14"/>
      <c r="H900" s="8"/>
      <c r="I900" s="8"/>
      <c r="J900" s="8"/>
      <c r="K900" s="27"/>
      <c r="L900" s="8"/>
      <c r="M900" s="27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27"/>
      <c r="B901" s="27"/>
      <c r="C901" s="27"/>
      <c r="D901" s="27"/>
      <c r="E901" s="8"/>
      <c r="F901" s="8"/>
      <c r="G901" s="14"/>
      <c r="H901" s="8"/>
      <c r="I901" s="8"/>
      <c r="J901" s="8"/>
      <c r="K901" s="27"/>
      <c r="L901" s="8"/>
      <c r="M901" s="27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27"/>
      <c r="B902" s="27"/>
      <c r="C902" s="27"/>
      <c r="D902" s="27"/>
      <c r="E902" s="8"/>
      <c r="F902" s="8"/>
      <c r="G902" s="14"/>
      <c r="H902" s="8"/>
      <c r="I902" s="8"/>
      <c r="J902" s="8"/>
      <c r="K902" s="27"/>
      <c r="L902" s="8"/>
      <c r="M902" s="27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27"/>
      <c r="B903" s="27"/>
      <c r="C903" s="27"/>
      <c r="D903" s="27"/>
      <c r="E903" s="8"/>
      <c r="F903" s="8"/>
      <c r="G903" s="14"/>
      <c r="H903" s="8"/>
      <c r="I903" s="8"/>
      <c r="J903" s="8"/>
      <c r="K903" s="27"/>
      <c r="L903" s="8"/>
      <c r="M903" s="27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27"/>
      <c r="B904" s="27"/>
      <c r="C904" s="27"/>
      <c r="D904" s="27"/>
      <c r="E904" s="8"/>
      <c r="F904" s="8"/>
      <c r="G904" s="14"/>
      <c r="H904" s="8"/>
      <c r="I904" s="8"/>
      <c r="J904" s="8"/>
      <c r="K904" s="27"/>
      <c r="L904" s="8"/>
      <c r="M904" s="27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27"/>
      <c r="B905" s="27"/>
      <c r="C905" s="27"/>
      <c r="D905" s="27"/>
      <c r="E905" s="8"/>
      <c r="F905" s="8"/>
      <c r="G905" s="14"/>
      <c r="H905" s="8"/>
      <c r="I905" s="8"/>
      <c r="J905" s="8"/>
      <c r="K905" s="27"/>
      <c r="L905" s="8"/>
      <c r="M905" s="27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27"/>
      <c r="B906" s="27"/>
      <c r="C906" s="27"/>
      <c r="D906" s="27"/>
      <c r="E906" s="8"/>
      <c r="F906" s="8"/>
      <c r="G906" s="14"/>
      <c r="H906" s="8"/>
      <c r="I906" s="8"/>
      <c r="J906" s="8"/>
      <c r="K906" s="27"/>
      <c r="L906" s="8"/>
      <c r="M906" s="27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27"/>
      <c r="B907" s="27"/>
      <c r="C907" s="27"/>
      <c r="D907" s="27"/>
      <c r="E907" s="8"/>
      <c r="F907" s="8"/>
      <c r="G907" s="14"/>
      <c r="H907" s="8"/>
      <c r="I907" s="8"/>
      <c r="J907" s="8"/>
      <c r="K907" s="27"/>
      <c r="L907" s="8"/>
      <c r="M907" s="27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27"/>
      <c r="B908" s="27"/>
      <c r="C908" s="27"/>
      <c r="D908" s="27"/>
      <c r="E908" s="8"/>
      <c r="F908" s="8"/>
      <c r="G908" s="14"/>
      <c r="H908" s="8"/>
      <c r="I908" s="8"/>
      <c r="J908" s="8"/>
      <c r="K908" s="27"/>
      <c r="L908" s="8"/>
      <c r="M908" s="27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27"/>
      <c r="B909" s="27"/>
      <c r="C909" s="27"/>
      <c r="D909" s="27"/>
      <c r="E909" s="8"/>
      <c r="F909" s="8"/>
      <c r="G909" s="14"/>
      <c r="H909" s="8"/>
      <c r="I909" s="8"/>
      <c r="J909" s="8"/>
      <c r="K909" s="27"/>
      <c r="L909" s="8"/>
      <c r="M909" s="27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27"/>
      <c r="B910" s="27"/>
      <c r="C910" s="27"/>
      <c r="D910" s="27"/>
      <c r="E910" s="8"/>
      <c r="F910" s="8"/>
      <c r="G910" s="14"/>
      <c r="H910" s="8"/>
      <c r="I910" s="8"/>
      <c r="J910" s="8"/>
      <c r="K910" s="27"/>
      <c r="L910" s="8"/>
      <c r="M910" s="27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27"/>
      <c r="B911" s="27"/>
      <c r="C911" s="27"/>
      <c r="D911" s="27"/>
      <c r="E911" s="8"/>
      <c r="F911" s="8"/>
      <c r="G911" s="14"/>
      <c r="H911" s="8"/>
      <c r="I911" s="8"/>
      <c r="J911" s="8"/>
      <c r="K911" s="27"/>
      <c r="L911" s="8"/>
      <c r="M911" s="27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27"/>
      <c r="B912" s="27"/>
      <c r="C912" s="27"/>
      <c r="D912" s="27"/>
      <c r="E912" s="8"/>
      <c r="F912" s="8"/>
      <c r="G912" s="14"/>
      <c r="H912" s="8"/>
      <c r="I912" s="8"/>
      <c r="J912" s="8"/>
      <c r="K912" s="27"/>
      <c r="L912" s="8"/>
      <c r="M912" s="27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27"/>
      <c r="B913" s="27"/>
      <c r="C913" s="27"/>
      <c r="D913" s="27"/>
      <c r="E913" s="8"/>
      <c r="F913" s="8"/>
      <c r="G913" s="14"/>
      <c r="H913" s="8"/>
      <c r="I913" s="8"/>
      <c r="J913" s="8"/>
      <c r="K913" s="27"/>
      <c r="L913" s="8"/>
      <c r="M913" s="27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27"/>
      <c r="B914" s="27"/>
      <c r="C914" s="27"/>
      <c r="D914" s="27"/>
      <c r="E914" s="8"/>
      <c r="F914" s="8"/>
      <c r="G914" s="14"/>
      <c r="H914" s="8"/>
      <c r="I914" s="8"/>
      <c r="J914" s="8"/>
      <c r="K914" s="27"/>
      <c r="L914" s="8"/>
      <c r="M914" s="27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27"/>
      <c r="B915" s="27"/>
      <c r="C915" s="27"/>
      <c r="D915" s="27"/>
      <c r="E915" s="8"/>
      <c r="F915" s="8"/>
      <c r="G915" s="14"/>
      <c r="H915" s="8"/>
      <c r="I915" s="8"/>
      <c r="J915" s="8"/>
      <c r="K915" s="27"/>
      <c r="L915" s="8"/>
      <c r="M915" s="27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27"/>
      <c r="B916" s="27"/>
      <c r="C916" s="27"/>
      <c r="D916" s="27"/>
      <c r="E916" s="8"/>
      <c r="F916" s="8"/>
      <c r="G916" s="14"/>
      <c r="H916" s="8"/>
      <c r="I916" s="8"/>
      <c r="J916" s="8"/>
      <c r="K916" s="27"/>
      <c r="L916" s="8"/>
      <c r="M916" s="27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27"/>
      <c r="B917" s="27"/>
      <c r="C917" s="27"/>
      <c r="D917" s="27"/>
      <c r="E917" s="8"/>
      <c r="F917" s="8"/>
      <c r="G917" s="14"/>
      <c r="H917" s="8"/>
      <c r="I917" s="8"/>
      <c r="J917" s="8"/>
      <c r="K917" s="27"/>
      <c r="L917" s="8"/>
      <c r="M917" s="27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27"/>
      <c r="B918" s="27"/>
      <c r="C918" s="27"/>
      <c r="D918" s="27"/>
      <c r="E918" s="8"/>
      <c r="F918" s="8"/>
      <c r="G918" s="14"/>
      <c r="H918" s="8"/>
      <c r="I918" s="8"/>
      <c r="J918" s="8"/>
      <c r="K918" s="27"/>
      <c r="L918" s="8"/>
      <c r="M918" s="27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27"/>
      <c r="B919" s="27"/>
      <c r="C919" s="27"/>
      <c r="D919" s="27"/>
      <c r="E919" s="8"/>
      <c r="F919" s="8"/>
      <c r="G919" s="14"/>
      <c r="H919" s="8"/>
      <c r="I919" s="8"/>
      <c r="J919" s="8"/>
      <c r="K919" s="27"/>
      <c r="L919" s="8"/>
      <c r="M919" s="27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27"/>
      <c r="B920" s="27"/>
      <c r="C920" s="27"/>
      <c r="D920" s="27"/>
      <c r="E920" s="8"/>
      <c r="F920" s="8"/>
      <c r="G920" s="14"/>
      <c r="H920" s="8"/>
      <c r="I920" s="8"/>
      <c r="J920" s="8"/>
      <c r="K920" s="27"/>
      <c r="L920" s="8"/>
      <c r="M920" s="27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27"/>
      <c r="B921" s="27"/>
      <c r="C921" s="27"/>
      <c r="D921" s="27"/>
      <c r="E921" s="8"/>
      <c r="F921" s="8"/>
      <c r="G921" s="14"/>
      <c r="H921" s="8"/>
      <c r="I921" s="8"/>
      <c r="J921" s="8"/>
      <c r="K921" s="27"/>
      <c r="L921" s="8"/>
      <c r="M921" s="27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27"/>
      <c r="B922" s="27"/>
      <c r="C922" s="27"/>
      <c r="D922" s="27"/>
      <c r="E922" s="8"/>
      <c r="F922" s="8"/>
      <c r="G922" s="14"/>
      <c r="H922" s="8"/>
      <c r="I922" s="8"/>
      <c r="J922" s="8"/>
      <c r="K922" s="27"/>
      <c r="L922" s="8"/>
      <c r="M922" s="27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27"/>
      <c r="B923" s="27"/>
      <c r="C923" s="27"/>
      <c r="D923" s="27"/>
      <c r="E923" s="8"/>
      <c r="F923" s="8"/>
      <c r="G923" s="14"/>
      <c r="H923" s="8"/>
      <c r="I923" s="8"/>
      <c r="J923" s="8"/>
      <c r="K923" s="27"/>
      <c r="L923" s="8"/>
      <c r="M923" s="27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27"/>
      <c r="B924" s="27"/>
      <c r="C924" s="27"/>
      <c r="D924" s="27"/>
      <c r="E924" s="8"/>
      <c r="F924" s="8"/>
      <c r="G924" s="14"/>
      <c r="H924" s="8"/>
      <c r="I924" s="8"/>
      <c r="J924" s="8"/>
      <c r="K924" s="27"/>
      <c r="L924" s="8"/>
      <c r="M924" s="27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27"/>
      <c r="B925" s="27"/>
      <c r="C925" s="27"/>
      <c r="D925" s="27"/>
      <c r="E925" s="8"/>
      <c r="F925" s="8"/>
      <c r="G925" s="14"/>
      <c r="H925" s="8"/>
      <c r="I925" s="8"/>
      <c r="J925" s="8"/>
      <c r="K925" s="27"/>
      <c r="L925" s="8"/>
      <c r="M925" s="27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27"/>
      <c r="B926" s="27"/>
      <c r="C926" s="27"/>
      <c r="D926" s="27"/>
      <c r="E926" s="8"/>
      <c r="F926" s="8"/>
      <c r="G926" s="14"/>
      <c r="H926" s="8"/>
      <c r="I926" s="8"/>
      <c r="J926" s="8"/>
      <c r="K926" s="27"/>
      <c r="L926" s="8"/>
      <c r="M926" s="27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27"/>
      <c r="B927" s="27"/>
      <c r="C927" s="27"/>
      <c r="D927" s="27"/>
      <c r="E927" s="8"/>
      <c r="F927" s="8"/>
      <c r="G927" s="14"/>
      <c r="H927" s="8"/>
      <c r="I927" s="8"/>
      <c r="J927" s="8"/>
      <c r="K927" s="27"/>
      <c r="L927" s="8"/>
      <c r="M927" s="27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27"/>
      <c r="B928" s="27"/>
      <c r="C928" s="27"/>
      <c r="D928" s="27"/>
      <c r="E928" s="8"/>
      <c r="F928" s="8"/>
      <c r="G928" s="14"/>
      <c r="H928" s="8"/>
      <c r="I928" s="8"/>
      <c r="J928" s="8"/>
      <c r="K928" s="27"/>
      <c r="L928" s="8"/>
      <c r="M928" s="27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27"/>
      <c r="B929" s="27"/>
      <c r="C929" s="27"/>
      <c r="D929" s="27"/>
      <c r="E929" s="8"/>
      <c r="F929" s="8"/>
      <c r="G929" s="14"/>
      <c r="H929" s="8"/>
      <c r="I929" s="8"/>
      <c r="J929" s="8"/>
      <c r="K929" s="27"/>
      <c r="L929" s="8"/>
      <c r="M929" s="27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27"/>
      <c r="B930" s="27"/>
      <c r="C930" s="27"/>
      <c r="D930" s="27"/>
      <c r="E930" s="8"/>
      <c r="F930" s="8"/>
      <c r="G930" s="14"/>
      <c r="H930" s="8"/>
      <c r="I930" s="8"/>
      <c r="J930" s="8"/>
      <c r="K930" s="27"/>
      <c r="L930" s="8"/>
      <c r="M930" s="27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27"/>
      <c r="B931" s="27"/>
      <c r="C931" s="27"/>
      <c r="D931" s="27"/>
      <c r="E931" s="8"/>
      <c r="F931" s="8"/>
      <c r="G931" s="14"/>
      <c r="H931" s="8"/>
      <c r="I931" s="8"/>
      <c r="J931" s="8"/>
      <c r="K931" s="27"/>
      <c r="L931" s="8"/>
      <c r="M931" s="27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27"/>
      <c r="B932" s="27"/>
      <c r="C932" s="27"/>
      <c r="D932" s="27"/>
      <c r="E932" s="8"/>
      <c r="F932" s="8"/>
      <c r="G932" s="14"/>
      <c r="H932" s="8"/>
      <c r="I932" s="8"/>
      <c r="J932" s="8"/>
      <c r="K932" s="27"/>
      <c r="L932" s="8"/>
      <c r="M932" s="27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27"/>
      <c r="B933" s="27"/>
      <c r="C933" s="27"/>
      <c r="D933" s="27"/>
      <c r="E933" s="8"/>
      <c r="F933" s="8"/>
      <c r="G933" s="14"/>
      <c r="H933" s="8"/>
      <c r="I933" s="8"/>
      <c r="J933" s="8"/>
      <c r="K933" s="27"/>
      <c r="L933" s="8"/>
      <c r="M933" s="27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27"/>
      <c r="B934" s="27"/>
      <c r="C934" s="27"/>
      <c r="D934" s="27"/>
      <c r="E934" s="8"/>
      <c r="F934" s="8"/>
      <c r="G934" s="14"/>
      <c r="H934" s="8"/>
      <c r="I934" s="8"/>
      <c r="J934" s="8"/>
      <c r="K934" s="27"/>
      <c r="L934" s="8"/>
      <c r="M934" s="27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27"/>
      <c r="B935" s="27"/>
      <c r="C935" s="27"/>
      <c r="D935" s="27"/>
      <c r="E935" s="8"/>
      <c r="F935" s="8"/>
      <c r="G935" s="14"/>
      <c r="H935" s="8"/>
      <c r="I935" s="8"/>
      <c r="J935" s="8"/>
      <c r="K935" s="27"/>
      <c r="L935" s="8"/>
      <c r="M935" s="27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27"/>
      <c r="B936" s="27"/>
      <c r="C936" s="27"/>
      <c r="D936" s="27"/>
      <c r="E936" s="8"/>
      <c r="F936" s="8"/>
      <c r="G936" s="14"/>
      <c r="H936" s="8"/>
      <c r="I936" s="8"/>
      <c r="J936" s="8"/>
      <c r="K936" s="27"/>
      <c r="L936" s="8"/>
      <c r="M936" s="27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27"/>
      <c r="B937" s="27"/>
      <c r="C937" s="27"/>
      <c r="D937" s="27"/>
      <c r="E937" s="8"/>
      <c r="F937" s="8"/>
      <c r="G937" s="14"/>
      <c r="H937" s="8"/>
      <c r="I937" s="8"/>
      <c r="J937" s="8"/>
      <c r="K937" s="27"/>
      <c r="L937" s="8"/>
      <c r="M937" s="27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27"/>
      <c r="B938" s="27"/>
      <c r="C938" s="27"/>
      <c r="D938" s="27"/>
      <c r="E938" s="8"/>
      <c r="F938" s="8"/>
      <c r="G938" s="14"/>
      <c r="H938" s="8"/>
      <c r="I938" s="8"/>
      <c r="J938" s="8"/>
      <c r="K938" s="27"/>
      <c r="L938" s="8"/>
      <c r="M938" s="27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27"/>
      <c r="B939" s="27"/>
      <c r="C939" s="27"/>
      <c r="D939" s="27"/>
      <c r="E939" s="8"/>
      <c r="F939" s="8"/>
      <c r="G939" s="14"/>
      <c r="H939" s="8"/>
      <c r="I939" s="8"/>
      <c r="J939" s="8"/>
      <c r="K939" s="27"/>
      <c r="L939" s="8"/>
      <c r="M939" s="27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27"/>
      <c r="B940" s="27"/>
      <c r="C940" s="27"/>
      <c r="D940" s="27"/>
      <c r="E940" s="8"/>
      <c r="F940" s="8"/>
      <c r="G940" s="14"/>
      <c r="H940" s="8"/>
      <c r="I940" s="8"/>
      <c r="J940" s="8"/>
      <c r="K940" s="27"/>
      <c r="L940" s="8"/>
      <c r="M940" s="27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27"/>
      <c r="B941" s="27"/>
      <c r="C941" s="27"/>
      <c r="D941" s="27"/>
      <c r="E941" s="8"/>
      <c r="F941" s="8"/>
      <c r="G941" s="14"/>
      <c r="H941" s="8"/>
      <c r="I941" s="8"/>
      <c r="J941" s="8"/>
      <c r="K941" s="27"/>
      <c r="L941" s="8"/>
      <c r="M941" s="27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27"/>
      <c r="B942" s="27"/>
      <c r="C942" s="27"/>
      <c r="D942" s="27"/>
      <c r="E942" s="8"/>
      <c r="F942" s="8"/>
      <c r="G942" s="14"/>
      <c r="H942" s="8"/>
      <c r="I942" s="8"/>
      <c r="J942" s="8"/>
      <c r="K942" s="27"/>
      <c r="L942" s="8"/>
      <c r="M942" s="27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27"/>
      <c r="B943" s="27"/>
      <c r="C943" s="27"/>
      <c r="D943" s="27"/>
      <c r="E943" s="8"/>
      <c r="F943" s="8"/>
      <c r="G943" s="14"/>
      <c r="H943" s="8"/>
      <c r="I943" s="8"/>
      <c r="J943" s="8"/>
      <c r="K943" s="27"/>
      <c r="L943" s="8"/>
      <c r="M943" s="27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27"/>
      <c r="B944" s="27"/>
      <c r="C944" s="27"/>
      <c r="D944" s="27"/>
      <c r="E944" s="8"/>
      <c r="F944" s="8"/>
      <c r="G944" s="14"/>
      <c r="H944" s="8"/>
      <c r="I944" s="8"/>
      <c r="J944" s="8"/>
      <c r="K944" s="27"/>
      <c r="L944" s="8"/>
      <c r="M944" s="27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27"/>
      <c r="B945" s="27"/>
      <c r="C945" s="27"/>
      <c r="D945" s="27"/>
      <c r="E945" s="8"/>
      <c r="F945" s="8"/>
      <c r="G945" s="14"/>
      <c r="H945" s="8"/>
      <c r="I945" s="8"/>
      <c r="J945" s="8"/>
      <c r="K945" s="27"/>
      <c r="L945" s="8"/>
      <c r="M945" s="27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27"/>
      <c r="B946" s="27"/>
      <c r="C946" s="27"/>
      <c r="D946" s="27"/>
      <c r="E946" s="8"/>
      <c r="F946" s="8"/>
      <c r="G946" s="14"/>
      <c r="H946" s="8"/>
      <c r="I946" s="8"/>
      <c r="J946" s="8"/>
      <c r="K946" s="27"/>
      <c r="L946" s="8"/>
      <c r="M946" s="27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27"/>
      <c r="B947" s="27"/>
      <c r="C947" s="27"/>
      <c r="D947" s="27"/>
      <c r="E947" s="8"/>
      <c r="F947" s="8"/>
      <c r="G947" s="14"/>
      <c r="H947" s="8"/>
      <c r="I947" s="8"/>
      <c r="J947" s="8"/>
      <c r="K947" s="27"/>
      <c r="L947" s="8"/>
      <c r="M947" s="27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27"/>
      <c r="B948" s="27"/>
      <c r="C948" s="27"/>
      <c r="D948" s="27"/>
      <c r="E948" s="8"/>
      <c r="F948" s="8"/>
      <c r="G948" s="14"/>
      <c r="H948" s="8"/>
      <c r="I948" s="8"/>
      <c r="J948" s="8"/>
      <c r="K948" s="27"/>
      <c r="L948" s="8"/>
      <c r="M948" s="27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27"/>
      <c r="B949" s="27"/>
      <c r="C949" s="27"/>
      <c r="D949" s="27"/>
      <c r="E949" s="8"/>
      <c r="F949" s="8"/>
      <c r="G949" s="14"/>
      <c r="H949" s="8"/>
      <c r="I949" s="8"/>
      <c r="J949" s="8"/>
      <c r="K949" s="27"/>
      <c r="L949" s="8"/>
      <c r="M949" s="27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27"/>
      <c r="B950" s="27"/>
      <c r="C950" s="27"/>
      <c r="D950" s="27"/>
      <c r="E950" s="8"/>
      <c r="F950" s="8"/>
      <c r="G950" s="14"/>
      <c r="H950" s="8"/>
      <c r="I950" s="8"/>
      <c r="J950" s="8"/>
      <c r="K950" s="27"/>
      <c r="L950" s="8"/>
      <c r="M950" s="27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27"/>
      <c r="B951" s="27"/>
      <c r="C951" s="27"/>
      <c r="D951" s="27"/>
      <c r="E951" s="8"/>
      <c r="F951" s="8"/>
      <c r="G951" s="14"/>
      <c r="H951" s="8"/>
      <c r="I951" s="8"/>
      <c r="J951" s="8"/>
      <c r="K951" s="27"/>
      <c r="L951" s="8"/>
      <c r="M951" s="27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27"/>
      <c r="B952" s="27"/>
      <c r="C952" s="27"/>
      <c r="D952" s="27"/>
      <c r="E952" s="8"/>
      <c r="F952" s="8"/>
      <c r="G952" s="14"/>
      <c r="H952" s="8"/>
      <c r="I952" s="8"/>
      <c r="J952" s="8"/>
      <c r="K952" s="27"/>
      <c r="L952" s="8"/>
      <c r="M952" s="27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27"/>
      <c r="B953" s="27"/>
      <c r="C953" s="27"/>
      <c r="D953" s="27"/>
      <c r="E953" s="8"/>
      <c r="F953" s="8"/>
      <c r="G953" s="14"/>
      <c r="H953" s="8"/>
      <c r="I953" s="8"/>
      <c r="J953" s="8"/>
      <c r="K953" s="27"/>
      <c r="L953" s="8"/>
      <c r="M953" s="27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27"/>
      <c r="B954" s="27"/>
      <c r="C954" s="27"/>
      <c r="D954" s="27"/>
      <c r="E954" s="8"/>
      <c r="F954" s="8"/>
      <c r="G954" s="14"/>
      <c r="H954" s="8"/>
      <c r="I954" s="8"/>
      <c r="J954" s="8"/>
      <c r="K954" s="27"/>
      <c r="L954" s="8"/>
      <c r="M954" s="27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27"/>
      <c r="B955" s="27"/>
      <c r="C955" s="27"/>
      <c r="D955" s="27"/>
      <c r="E955" s="8"/>
      <c r="F955" s="8"/>
      <c r="G955" s="14"/>
      <c r="H955" s="8"/>
      <c r="I955" s="8"/>
      <c r="J955" s="8"/>
      <c r="K955" s="27"/>
      <c r="L955" s="8"/>
      <c r="M955" s="27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27"/>
      <c r="B956" s="27"/>
      <c r="C956" s="27"/>
      <c r="D956" s="27"/>
      <c r="E956" s="8"/>
      <c r="F956" s="8"/>
      <c r="G956" s="14"/>
      <c r="H956" s="8"/>
      <c r="I956" s="8"/>
      <c r="J956" s="8"/>
      <c r="K956" s="27"/>
      <c r="L956" s="8"/>
      <c r="M956" s="27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27"/>
      <c r="B957" s="27"/>
      <c r="C957" s="27"/>
      <c r="D957" s="27"/>
      <c r="E957" s="8"/>
      <c r="F957" s="8"/>
      <c r="G957" s="14"/>
      <c r="H957" s="8"/>
      <c r="I957" s="8"/>
      <c r="J957" s="8"/>
      <c r="K957" s="27"/>
      <c r="L957" s="8"/>
      <c r="M957" s="27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27"/>
      <c r="B958" s="27"/>
      <c r="C958" s="27"/>
      <c r="D958" s="27"/>
      <c r="E958" s="8"/>
      <c r="F958" s="8"/>
      <c r="G958" s="14"/>
      <c r="H958" s="8"/>
      <c r="I958" s="8"/>
      <c r="J958" s="8"/>
      <c r="K958" s="27"/>
      <c r="L958" s="8"/>
      <c r="M958" s="27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27"/>
      <c r="B959" s="27"/>
      <c r="C959" s="27"/>
      <c r="D959" s="27"/>
      <c r="E959" s="8"/>
      <c r="F959" s="8"/>
      <c r="G959" s="14"/>
      <c r="H959" s="8"/>
      <c r="I959" s="8"/>
      <c r="J959" s="8"/>
      <c r="K959" s="27"/>
      <c r="L959" s="8"/>
      <c r="M959" s="27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27"/>
      <c r="B960" s="27"/>
      <c r="C960" s="27"/>
      <c r="D960" s="27"/>
      <c r="E960" s="8"/>
      <c r="F960" s="8"/>
      <c r="G960" s="14"/>
      <c r="H960" s="8"/>
      <c r="I960" s="8"/>
      <c r="J960" s="8"/>
      <c r="K960" s="27"/>
      <c r="L960" s="8"/>
      <c r="M960" s="27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27"/>
      <c r="B961" s="27"/>
      <c r="C961" s="27"/>
      <c r="D961" s="27"/>
      <c r="E961" s="8"/>
      <c r="F961" s="8"/>
      <c r="G961" s="14"/>
      <c r="H961" s="8"/>
      <c r="I961" s="8"/>
      <c r="J961" s="8"/>
      <c r="K961" s="27"/>
      <c r="L961" s="8"/>
      <c r="M961" s="27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27"/>
      <c r="B962" s="27"/>
      <c r="C962" s="27"/>
      <c r="D962" s="27"/>
      <c r="E962" s="8"/>
      <c r="F962" s="8"/>
      <c r="G962" s="14"/>
      <c r="H962" s="8"/>
      <c r="I962" s="8"/>
      <c r="J962" s="8"/>
      <c r="K962" s="27"/>
      <c r="L962" s="8"/>
      <c r="M962" s="27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27"/>
      <c r="B963" s="27"/>
      <c r="C963" s="27"/>
      <c r="D963" s="27"/>
      <c r="E963" s="8"/>
      <c r="F963" s="8"/>
      <c r="G963" s="14"/>
      <c r="H963" s="8"/>
      <c r="I963" s="8"/>
      <c r="J963" s="8"/>
      <c r="K963" s="27"/>
      <c r="L963" s="8"/>
      <c r="M963" s="27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27"/>
      <c r="B964" s="27"/>
      <c r="C964" s="27"/>
      <c r="D964" s="27"/>
      <c r="E964" s="8"/>
      <c r="F964" s="8"/>
      <c r="G964" s="14"/>
      <c r="H964" s="8"/>
      <c r="I964" s="8"/>
      <c r="J964" s="8"/>
      <c r="K964" s="27"/>
      <c r="L964" s="8"/>
      <c r="M964" s="27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27"/>
      <c r="B965" s="27"/>
      <c r="C965" s="27"/>
      <c r="D965" s="27"/>
      <c r="E965" s="8"/>
      <c r="F965" s="8"/>
      <c r="G965" s="14"/>
      <c r="H965" s="8"/>
      <c r="I965" s="8"/>
      <c r="J965" s="8"/>
      <c r="K965" s="27"/>
      <c r="L965" s="8"/>
      <c r="M965" s="27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27"/>
      <c r="B966" s="27"/>
      <c r="C966" s="27"/>
      <c r="D966" s="27"/>
      <c r="E966" s="8"/>
      <c r="F966" s="8"/>
      <c r="G966" s="14"/>
      <c r="H966" s="8"/>
      <c r="I966" s="8"/>
      <c r="J966" s="8"/>
      <c r="K966" s="27"/>
      <c r="L966" s="8"/>
      <c r="M966" s="27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27"/>
      <c r="B967" s="27"/>
      <c r="C967" s="27"/>
      <c r="D967" s="27"/>
      <c r="E967" s="8"/>
      <c r="F967" s="8"/>
      <c r="G967" s="14"/>
      <c r="H967" s="8"/>
      <c r="I967" s="8"/>
      <c r="J967" s="8"/>
      <c r="K967" s="27"/>
      <c r="L967" s="8"/>
      <c r="M967" s="27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27"/>
      <c r="B968" s="27"/>
      <c r="C968" s="27"/>
      <c r="D968" s="27"/>
      <c r="E968" s="8"/>
      <c r="F968" s="8"/>
      <c r="G968" s="14"/>
      <c r="H968" s="8"/>
      <c r="I968" s="8"/>
      <c r="J968" s="8"/>
      <c r="K968" s="27"/>
      <c r="L968" s="8"/>
      <c r="M968" s="27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27"/>
      <c r="B969" s="27"/>
      <c r="C969" s="27"/>
      <c r="D969" s="27"/>
      <c r="E969" s="8"/>
      <c r="F969" s="8"/>
      <c r="G969" s="14"/>
      <c r="H969" s="8"/>
      <c r="I969" s="8"/>
      <c r="J969" s="8"/>
      <c r="K969" s="27"/>
      <c r="L969" s="8"/>
      <c r="M969" s="27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27"/>
      <c r="B970" s="27"/>
      <c r="C970" s="27"/>
      <c r="D970" s="27"/>
      <c r="E970" s="8"/>
      <c r="F970" s="8"/>
      <c r="G970" s="14"/>
      <c r="H970" s="8"/>
      <c r="I970" s="8"/>
      <c r="J970" s="8"/>
      <c r="K970" s="27"/>
      <c r="L970" s="8"/>
      <c r="M970" s="27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27"/>
      <c r="B971" s="27"/>
      <c r="C971" s="27"/>
      <c r="D971" s="27"/>
      <c r="E971" s="8"/>
      <c r="F971" s="8"/>
      <c r="G971" s="14"/>
      <c r="H971" s="8"/>
      <c r="I971" s="8"/>
      <c r="J971" s="8"/>
      <c r="K971" s="27"/>
      <c r="L971" s="8"/>
      <c r="M971" s="27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27"/>
      <c r="B972" s="27"/>
      <c r="C972" s="27"/>
      <c r="D972" s="27"/>
      <c r="E972" s="8"/>
      <c r="F972" s="8"/>
      <c r="G972" s="14"/>
      <c r="H972" s="8"/>
      <c r="I972" s="8"/>
      <c r="J972" s="8"/>
      <c r="K972" s="27"/>
      <c r="L972" s="8"/>
      <c r="M972" s="27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27"/>
      <c r="B973" s="27"/>
      <c r="C973" s="27"/>
      <c r="D973" s="27"/>
      <c r="E973" s="8"/>
      <c r="F973" s="8"/>
      <c r="G973" s="14"/>
      <c r="H973" s="8"/>
      <c r="I973" s="8"/>
      <c r="J973" s="8"/>
      <c r="K973" s="27"/>
      <c r="L973" s="8"/>
      <c r="M973" s="27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27"/>
      <c r="B974" s="27"/>
      <c r="C974" s="27"/>
      <c r="D974" s="27"/>
      <c r="E974" s="8"/>
      <c r="F974" s="8"/>
      <c r="G974" s="14"/>
      <c r="H974" s="8"/>
      <c r="I974" s="8"/>
      <c r="J974" s="8"/>
      <c r="K974" s="27"/>
      <c r="L974" s="8"/>
      <c r="M974" s="27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27"/>
      <c r="B975" s="27"/>
      <c r="C975" s="27"/>
      <c r="D975" s="27"/>
      <c r="E975" s="8"/>
      <c r="F975" s="8"/>
      <c r="G975" s="14"/>
      <c r="H975" s="8"/>
      <c r="I975" s="8"/>
      <c r="J975" s="8"/>
      <c r="K975" s="27"/>
      <c r="L975" s="8"/>
      <c r="M975" s="27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27"/>
      <c r="B976" s="27"/>
      <c r="C976" s="27"/>
      <c r="D976" s="27"/>
      <c r="E976" s="8"/>
      <c r="F976" s="8"/>
      <c r="G976" s="14"/>
      <c r="H976" s="8"/>
      <c r="I976" s="8"/>
      <c r="J976" s="8"/>
      <c r="K976" s="27"/>
      <c r="L976" s="8"/>
      <c r="M976" s="27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27"/>
      <c r="B977" s="27"/>
      <c r="C977" s="27"/>
      <c r="D977" s="27"/>
      <c r="E977" s="8"/>
      <c r="F977" s="8"/>
      <c r="G977" s="14"/>
      <c r="H977" s="8"/>
      <c r="I977" s="8"/>
      <c r="J977" s="8"/>
      <c r="K977" s="27"/>
      <c r="L977" s="8"/>
      <c r="M977" s="27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27"/>
      <c r="B978" s="27"/>
      <c r="C978" s="27"/>
      <c r="D978" s="27"/>
      <c r="E978" s="8"/>
      <c r="F978" s="8"/>
      <c r="G978" s="14"/>
      <c r="H978" s="8"/>
      <c r="I978" s="8"/>
      <c r="J978" s="8"/>
      <c r="K978" s="27"/>
      <c r="L978" s="8"/>
      <c r="M978" s="27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27"/>
      <c r="B979" s="27"/>
      <c r="C979" s="27"/>
      <c r="D979" s="27"/>
      <c r="E979" s="8"/>
      <c r="F979" s="8"/>
      <c r="G979" s="14"/>
      <c r="H979" s="8"/>
      <c r="I979" s="8"/>
      <c r="J979" s="8"/>
      <c r="K979" s="27"/>
      <c r="L979" s="8"/>
      <c r="M979" s="27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27"/>
      <c r="B980" s="27"/>
      <c r="C980" s="27"/>
      <c r="D980" s="27"/>
      <c r="E980" s="8"/>
      <c r="F980" s="8"/>
      <c r="G980" s="14"/>
      <c r="H980" s="8"/>
      <c r="I980" s="8"/>
      <c r="J980" s="8"/>
      <c r="K980" s="27"/>
      <c r="L980" s="8"/>
      <c r="M980" s="27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27"/>
      <c r="B981" s="27"/>
      <c r="C981" s="27"/>
      <c r="D981" s="27"/>
      <c r="E981" s="8"/>
      <c r="F981" s="8"/>
      <c r="G981" s="14"/>
      <c r="H981" s="8"/>
      <c r="I981" s="8"/>
      <c r="J981" s="8"/>
      <c r="K981" s="27"/>
      <c r="L981" s="8"/>
      <c r="M981" s="27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27"/>
      <c r="B982" s="27"/>
      <c r="C982" s="27"/>
      <c r="D982" s="27"/>
      <c r="E982" s="8"/>
      <c r="F982" s="8"/>
      <c r="G982" s="14"/>
      <c r="H982" s="8"/>
      <c r="I982" s="8"/>
      <c r="J982" s="8"/>
      <c r="K982" s="27"/>
      <c r="L982" s="8"/>
      <c r="M982" s="27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27"/>
      <c r="B983" s="27"/>
      <c r="C983" s="27"/>
      <c r="D983" s="27"/>
      <c r="E983" s="8"/>
      <c r="F983" s="8"/>
      <c r="G983" s="14"/>
      <c r="H983" s="8"/>
      <c r="I983" s="8"/>
      <c r="J983" s="8"/>
      <c r="K983" s="27"/>
      <c r="L983" s="8"/>
      <c r="M983" s="27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27"/>
      <c r="B984" s="27"/>
      <c r="C984" s="27"/>
      <c r="D984" s="27"/>
      <c r="E984" s="8"/>
      <c r="F984" s="8"/>
      <c r="G984" s="14"/>
      <c r="H984" s="8"/>
      <c r="I984" s="8"/>
      <c r="J984" s="8"/>
      <c r="K984" s="27"/>
      <c r="L984" s="8"/>
      <c r="M984" s="27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27"/>
      <c r="B985" s="27"/>
      <c r="C985" s="27"/>
      <c r="D985" s="27"/>
      <c r="E985" s="8"/>
      <c r="F985" s="8"/>
      <c r="G985" s="14"/>
      <c r="H985" s="8"/>
      <c r="I985" s="8"/>
      <c r="J985" s="8"/>
      <c r="K985" s="27"/>
      <c r="L985" s="8"/>
      <c r="M985" s="27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27"/>
      <c r="B986" s="27"/>
      <c r="C986" s="27"/>
      <c r="D986" s="27"/>
      <c r="E986" s="8"/>
      <c r="F986" s="8"/>
      <c r="G986" s="14"/>
      <c r="H986" s="8"/>
      <c r="I986" s="8"/>
      <c r="J986" s="8"/>
      <c r="K986" s="27"/>
      <c r="L986" s="8"/>
      <c r="M986" s="27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27"/>
      <c r="B987" s="27"/>
      <c r="C987" s="27"/>
      <c r="D987" s="27"/>
      <c r="E987" s="8"/>
      <c r="F987" s="8"/>
      <c r="G987" s="14"/>
      <c r="H987" s="8"/>
      <c r="I987" s="8"/>
      <c r="J987" s="8"/>
      <c r="K987" s="27"/>
      <c r="L987" s="8"/>
      <c r="M987" s="27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27"/>
      <c r="B988" s="27"/>
      <c r="C988" s="27"/>
      <c r="D988" s="27"/>
      <c r="E988" s="8"/>
      <c r="F988" s="8"/>
      <c r="G988" s="14"/>
      <c r="H988" s="8"/>
      <c r="I988" s="8"/>
      <c r="J988" s="8"/>
      <c r="K988" s="27"/>
      <c r="L988" s="8"/>
      <c r="M988" s="27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27"/>
      <c r="B989" s="27"/>
      <c r="C989" s="27"/>
      <c r="D989" s="27"/>
      <c r="E989" s="8"/>
      <c r="F989" s="8"/>
      <c r="G989" s="14"/>
      <c r="H989" s="8"/>
      <c r="I989" s="8"/>
      <c r="J989" s="8"/>
      <c r="K989" s="27"/>
      <c r="L989" s="8"/>
      <c r="M989" s="27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27"/>
      <c r="B990" s="27"/>
      <c r="C990" s="27"/>
      <c r="D990" s="27"/>
      <c r="E990" s="8"/>
      <c r="F990" s="8"/>
      <c r="G990" s="14"/>
      <c r="H990" s="8"/>
      <c r="I990" s="8"/>
      <c r="J990" s="8"/>
      <c r="K990" s="27"/>
      <c r="L990" s="8"/>
      <c r="M990" s="27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27"/>
      <c r="B991" s="27"/>
      <c r="C991" s="27"/>
      <c r="D991" s="27"/>
      <c r="E991" s="8"/>
      <c r="F991" s="8"/>
      <c r="G991" s="14"/>
      <c r="H991" s="8"/>
      <c r="I991" s="8"/>
      <c r="J991" s="8"/>
      <c r="K991" s="27"/>
      <c r="L991" s="8"/>
      <c r="M991" s="27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27"/>
      <c r="B992" s="27"/>
      <c r="C992" s="27"/>
      <c r="D992" s="27"/>
      <c r="E992" s="8"/>
      <c r="F992" s="8"/>
      <c r="G992" s="14"/>
      <c r="H992" s="8"/>
      <c r="I992" s="8"/>
      <c r="J992" s="8"/>
      <c r="K992" s="27"/>
      <c r="L992" s="8"/>
      <c r="M992" s="27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27"/>
      <c r="B993" s="27"/>
      <c r="C993" s="27"/>
      <c r="D993" s="27"/>
      <c r="E993" s="8"/>
      <c r="F993" s="8"/>
      <c r="G993" s="14"/>
      <c r="H993" s="8"/>
      <c r="I993" s="8"/>
      <c r="J993" s="8"/>
      <c r="K993" s="27"/>
      <c r="L993" s="8"/>
      <c r="M993" s="27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27"/>
      <c r="B994" s="27"/>
      <c r="C994" s="27"/>
      <c r="D994" s="27"/>
      <c r="E994" s="8"/>
      <c r="F994" s="8"/>
      <c r="G994" s="14"/>
      <c r="H994" s="8"/>
      <c r="I994" s="8"/>
      <c r="J994" s="8"/>
      <c r="K994" s="27"/>
      <c r="L994" s="8"/>
      <c r="M994" s="27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27"/>
      <c r="B995" s="27"/>
      <c r="C995" s="27"/>
      <c r="D995" s="27"/>
      <c r="E995" s="8"/>
      <c r="F995" s="8"/>
      <c r="G995" s="14"/>
      <c r="H995" s="8"/>
      <c r="I995" s="8"/>
      <c r="J995" s="8"/>
      <c r="K995" s="27"/>
      <c r="L995" s="8"/>
      <c r="M995" s="27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27"/>
      <c r="B996" s="27"/>
      <c r="C996" s="27"/>
      <c r="D996" s="27"/>
      <c r="E996" s="8"/>
      <c r="F996" s="8"/>
      <c r="G996" s="14"/>
      <c r="H996" s="8"/>
      <c r="I996" s="8"/>
      <c r="J996" s="8"/>
      <c r="K996" s="27"/>
      <c r="L996" s="8"/>
      <c r="M996" s="27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27"/>
      <c r="B997" s="27"/>
      <c r="C997" s="27"/>
      <c r="D997" s="27"/>
      <c r="E997" s="8"/>
      <c r="F997" s="8"/>
      <c r="G997" s="14"/>
      <c r="H997" s="8"/>
      <c r="I997" s="8"/>
      <c r="J997" s="8"/>
      <c r="K997" s="27"/>
      <c r="L997" s="8"/>
      <c r="M997" s="27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27"/>
      <c r="B998" s="27"/>
      <c r="C998" s="27"/>
      <c r="D998" s="27"/>
      <c r="E998" s="8"/>
      <c r="F998" s="8"/>
      <c r="G998" s="14"/>
      <c r="H998" s="8"/>
      <c r="I998" s="8"/>
      <c r="J998" s="8"/>
      <c r="K998" s="27"/>
      <c r="L998" s="8"/>
      <c r="M998" s="27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27"/>
      <c r="B999" s="27"/>
      <c r="C999" s="27"/>
      <c r="D999" s="27"/>
      <c r="E999" s="8"/>
      <c r="F999" s="8"/>
      <c r="G999" s="14"/>
      <c r="H999" s="8"/>
      <c r="I999" s="8"/>
      <c r="J999" s="8"/>
      <c r="K999" s="27"/>
      <c r="L999" s="8"/>
      <c r="M999" s="27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27"/>
      <c r="B1000" s="27"/>
      <c r="C1000" s="27"/>
      <c r="D1000" s="27"/>
      <c r="E1000" s="8"/>
      <c r="F1000" s="8"/>
      <c r="G1000" s="14"/>
      <c r="H1000" s="8"/>
      <c r="I1000" s="8"/>
      <c r="J1000" s="8"/>
      <c r="K1000" s="27"/>
      <c r="L1000" s="8"/>
      <c r="M1000" s="27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4.0"/>
    <col customWidth="1" min="6" max="6" width="19.71"/>
    <col customWidth="1" min="7" max="7" width="22.14"/>
    <col customWidth="1" min="9" max="9" width="6.57"/>
    <col customWidth="1" min="10" max="10" width="17.43"/>
    <col customWidth="1" min="11" max="11" width="26.71"/>
    <col customWidth="1" min="12" max="12" width="19.29"/>
    <col customWidth="1" min="13" max="13" width="28.14"/>
    <col customWidth="1" min="14" max="15" width="30.0"/>
    <col customWidth="1" min="16" max="16" width="31.29"/>
    <col customWidth="1" min="17" max="17" width="30.0"/>
    <col customWidth="1" min="19" max="20" width="31.14"/>
    <col customWidth="1" min="21" max="21" width="32.43"/>
    <col customWidth="1" min="22" max="22" width="31.29"/>
    <col customWidth="1" min="23" max="24" width="50.0"/>
    <col customWidth="1" min="25" max="25" width="51.43"/>
    <col customWidth="1" min="26" max="26" width="42.14"/>
  </cols>
  <sheetData>
    <row r="1">
      <c r="A1" s="13" t="s">
        <v>41</v>
      </c>
      <c r="B1" s="13" t="s">
        <v>42</v>
      </c>
      <c r="C1" s="13" t="s">
        <v>43</v>
      </c>
      <c r="D1" s="13" t="s">
        <v>44</v>
      </c>
      <c r="E1" s="32" t="s">
        <v>45</v>
      </c>
      <c r="F1" s="32" t="s">
        <v>46</v>
      </c>
      <c r="G1" s="33" t="s">
        <v>47</v>
      </c>
      <c r="H1" s="8"/>
      <c r="I1" s="8" t="s">
        <v>48</v>
      </c>
      <c r="J1" s="8" t="s">
        <v>49</v>
      </c>
      <c r="K1" s="15" t="s">
        <v>80</v>
      </c>
      <c r="L1" s="8" t="s">
        <v>50</v>
      </c>
      <c r="M1" s="15" t="s">
        <v>78</v>
      </c>
      <c r="N1" s="16" t="s">
        <v>52</v>
      </c>
      <c r="O1" s="16" t="s">
        <v>53</v>
      </c>
      <c r="P1" s="17" t="s">
        <v>54</v>
      </c>
      <c r="Q1" s="17" t="s">
        <v>55</v>
      </c>
      <c r="R1" s="18"/>
      <c r="S1" s="16" t="s">
        <v>56</v>
      </c>
      <c r="T1" s="16" t="s">
        <v>57</v>
      </c>
      <c r="U1" s="17" t="s">
        <v>58</v>
      </c>
      <c r="V1" s="17" t="s">
        <v>59</v>
      </c>
      <c r="W1" s="16" t="s">
        <v>60</v>
      </c>
      <c r="X1" s="16" t="s">
        <v>61</v>
      </c>
      <c r="Y1" s="17" t="s">
        <v>62</v>
      </c>
      <c r="Z1" s="17" t="s">
        <v>63</v>
      </c>
    </row>
    <row r="2">
      <c r="A2" s="13" t="s">
        <v>64</v>
      </c>
      <c r="B2" s="19">
        <v>42005.0</v>
      </c>
      <c r="C2" s="20">
        <v>1.0</v>
      </c>
      <c r="D2" s="21">
        <v>1.0</v>
      </c>
      <c r="E2" s="34">
        <f>A3/31</f>
        <v>7183.548387</v>
      </c>
      <c r="F2" s="34">
        <v>0.45161290322580644</v>
      </c>
      <c r="G2" s="35">
        <f t="shared" ref="G2:G16" si="1">G367</f>
        <v>6997.440166</v>
      </c>
      <c r="H2" s="23"/>
      <c r="I2" s="9">
        <f t="shared" ref="I2:I365" si="2">C2</f>
        <v>1</v>
      </c>
      <c r="J2" s="22">
        <f>SUM(G2:G8)</f>
        <v>49261.2435</v>
      </c>
      <c r="K2" s="24">
        <v>49261.2435</v>
      </c>
      <c r="L2" s="9">
        <f>(RealMonthlyData_2015!E1/366)*7</f>
        <v>42819.99454</v>
      </c>
      <c r="M2" s="24">
        <v>42819.99454</v>
      </c>
      <c r="N2" s="25">
        <v>12534.54429</v>
      </c>
      <c r="O2" s="25">
        <v>11183.48949</v>
      </c>
      <c r="P2" s="25">
        <v>3006.93991</v>
      </c>
      <c r="Q2" s="25">
        <v>21092.63721</v>
      </c>
      <c r="R2" s="18"/>
      <c r="S2" s="25">
        <v>11003.58305</v>
      </c>
      <c r="T2" s="25">
        <v>10524.30861</v>
      </c>
      <c r="U2" s="25">
        <v>2506.963863</v>
      </c>
      <c r="V2" s="25">
        <v>17769.47707</v>
      </c>
      <c r="W2" s="25">
        <v>1530.96124</v>
      </c>
      <c r="X2" s="25">
        <v>659.1808776</v>
      </c>
      <c r="Y2" s="25">
        <v>499.9760471</v>
      </c>
      <c r="Z2" s="25">
        <v>3323.160141</v>
      </c>
    </row>
    <row r="3">
      <c r="A3" s="20">
        <v>222690.0</v>
      </c>
      <c r="B3" s="19">
        <v>42006.0</v>
      </c>
      <c r="C3" s="20">
        <v>1.0</v>
      </c>
      <c r="D3" s="26">
        <v>2.0</v>
      </c>
      <c r="E3" s="34">
        <f t="shared" ref="E3:E32" si="3">E2</f>
        <v>7183.548387</v>
      </c>
      <c r="F3" s="34">
        <v>0.41935483870967744</v>
      </c>
      <c r="G3" s="35">
        <f t="shared" si="1"/>
        <v>7010.733611</v>
      </c>
      <c r="H3" s="8"/>
      <c r="I3" s="9">
        <f t="shared" si="2"/>
        <v>1</v>
      </c>
      <c r="J3" s="8"/>
      <c r="K3" s="27"/>
      <c r="L3" s="9">
        <f t="shared" ref="L3:L365" si="4">L2</f>
        <v>42819.99454</v>
      </c>
      <c r="M3" s="27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>
      <c r="A4" s="28"/>
      <c r="B4" s="19">
        <v>42007.0</v>
      </c>
      <c r="C4" s="20">
        <v>1.0</v>
      </c>
      <c r="D4" s="26">
        <v>3.0</v>
      </c>
      <c r="E4" s="34">
        <f t="shared" si="3"/>
        <v>7183.548387</v>
      </c>
      <c r="F4" s="34">
        <v>0.3870967741935484</v>
      </c>
      <c r="G4" s="35">
        <f t="shared" si="1"/>
        <v>7024.027055</v>
      </c>
      <c r="H4" s="8"/>
      <c r="I4" s="9">
        <f t="shared" si="2"/>
        <v>1</v>
      </c>
      <c r="J4" s="8"/>
      <c r="K4" s="27"/>
      <c r="L4" s="9">
        <f t="shared" si="4"/>
        <v>42819.99454</v>
      </c>
      <c r="M4" s="27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>
      <c r="A5" s="28"/>
      <c r="B5" s="19">
        <v>42008.0</v>
      </c>
      <c r="C5" s="20">
        <v>1.0</v>
      </c>
      <c r="D5" s="26">
        <v>4.0</v>
      </c>
      <c r="E5" s="34">
        <f t="shared" si="3"/>
        <v>7183.548387</v>
      </c>
      <c r="F5" s="34">
        <v>0.3548387096774194</v>
      </c>
      <c r="G5" s="35">
        <f t="shared" si="1"/>
        <v>7037.320499</v>
      </c>
      <c r="H5" s="8"/>
      <c r="I5" s="9">
        <f t="shared" si="2"/>
        <v>1</v>
      </c>
      <c r="J5" s="8"/>
      <c r="K5" s="27"/>
      <c r="L5" s="9">
        <f t="shared" si="4"/>
        <v>42819.99454</v>
      </c>
      <c r="M5" s="27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>
      <c r="A6" s="28"/>
      <c r="B6" s="19">
        <v>42009.0</v>
      </c>
      <c r="C6" s="20">
        <v>1.0</v>
      </c>
      <c r="D6" s="26">
        <v>5.0</v>
      </c>
      <c r="E6" s="34">
        <f t="shared" si="3"/>
        <v>7183.548387</v>
      </c>
      <c r="F6" s="34">
        <v>0.3225806451612903</v>
      </c>
      <c r="G6" s="35">
        <f t="shared" si="1"/>
        <v>7050.613944</v>
      </c>
      <c r="H6" s="8"/>
      <c r="I6" s="9">
        <f t="shared" si="2"/>
        <v>1</v>
      </c>
      <c r="J6" s="8"/>
      <c r="K6" s="27"/>
      <c r="L6" s="9">
        <f t="shared" si="4"/>
        <v>42819.99454</v>
      </c>
      <c r="M6" s="27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A7" s="28"/>
      <c r="B7" s="19">
        <v>42010.0</v>
      </c>
      <c r="C7" s="20">
        <v>1.0</v>
      </c>
      <c r="D7" s="26">
        <v>6.0</v>
      </c>
      <c r="E7" s="34">
        <f t="shared" si="3"/>
        <v>7183.548387</v>
      </c>
      <c r="F7" s="34">
        <v>0.2903225806451613</v>
      </c>
      <c r="G7" s="35">
        <f t="shared" si="1"/>
        <v>7063.907388</v>
      </c>
      <c r="H7" s="8"/>
      <c r="I7" s="9">
        <f t="shared" si="2"/>
        <v>1</v>
      </c>
      <c r="J7" s="8"/>
      <c r="K7" s="27"/>
      <c r="L7" s="9">
        <f t="shared" si="4"/>
        <v>42819.99454</v>
      </c>
      <c r="M7" s="2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>
      <c r="A8" s="28"/>
      <c r="B8" s="19">
        <v>42011.0</v>
      </c>
      <c r="C8" s="20">
        <v>1.0</v>
      </c>
      <c r="D8" s="26">
        <v>7.0</v>
      </c>
      <c r="E8" s="34">
        <f t="shared" si="3"/>
        <v>7183.548387</v>
      </c>
      <c r="F8" s="34">
        <v>0.25806451612903225</v>
      </c>
      <c r="G8" s="35">
        <f t="shared" si="1"/>
        <v>7077.200832</v>
      </c>
      <c r="H8" s="8"/>
      <c r="I8" s="9">
        <f t="shared" si="2"/>
        <v>1</v>
      </c>
      <c r="J8" s="8"/>
      <c r="K8" s="27"/>
      <c r="L8" s="9">
        <f t="shared" si="4"/>
        <v>42819.99454</v>
      </c>
      <c r="M8" s="2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>
      <c r="A9" s="28"/>
      <c r="B9" s="19">
        <v>42012.0</v>
      </c>
      <c r="C9" s="20">
        <v>2.0</v>
      </c>
      <c r="D9" s="26">
        <v>8.0</v>
      </c>
      <c r="E9" s="34">
        <f t="shared" si="3"/>
        <v>7183.548387</v>
      </c>
      <c r="F9" s="34">
        <v>0.22580645161290322</v>
      </c>
      <c r="G9" s="35">
        <f t="shared" si="1"/>
        <v>7090.494277</v>
      </c>
      <c r="H9" s="8"/>
      <c r="I9" s="9">
        <f t="shared" si="2"/>
        <v>2</v>
      </c>
      <c r="J9" s="22">
        <f>SUM(G9:G15)</f>
        <v>49912.62227</v>
      </c>
      <c r="K9" s="24">
        <v>49912.62227</v>
      </c>
      <c r="L9" s="9">
        <f t="shared" si="4"/>
        <v>42819.99454</v>
      </c>
      <c r="M9" s="24">
        <v>42819.99454</v>
      </c>
      <c r="N9" s="25">
        <v>13834.61548</v>
      </c>
      <c r="O9" s="25">
        <v>11262.02766</v>
      </c>
      <c r="P9" s="25">
        <v>3113.230256</v>
      </c>
      <c r="Q9" s="25">
        <v>22192.11776</v>
      </c>
      <c r="R9" s="18"/>
      <c r="S9" s="25">
        <v>11499.68091</v>
      </c>
      <c r="T9" s="25">
        <v>9834.797984</v>
      </c>
      <c r="U9" s="25">
        <v>2517.386965</v>
      </c>
      <c r="V9" s="25">
        <v>17731.11954</v>
      </c>
      <c r="W9" s="25">
        <v>2334.934573</v>
      </c>
      <c r="X9" s="25">
        <v>1427.229678</v>
      </c>
      <c r="Y9" s="25">
        <v>595.8432915</v>
      </c>
      <c r="Z9" s="25">
        <v>4460.998225</v>
      </c>
    </row>
    <row r="10">
      <c r="A10" s="28"/>
      <c r="B10" s="19">
        <v>42013.0</v>
      </c>
      <c r="C10" s="20">
        <v>2.0</v>
      </c>
      <c r="D10" s="26">
        <v>9.0</v>
      </c>
      <c r="E10" s="34">
        <f t="shared" si="3"/>
        <v>7183.548387</v>
      </c>
      <c r="F10" s="34">
        <v>0.1935483870967742</v>
      </c>
      <c r="G10" s="35">
        <f t="shared" si="1"/>
        <v>7103.787721</v>
      </c>
      <c r="H10" s="8"/>
      <c r="I10" s="9">
        <f t="shared" si="2"/>
        <v>2</v>
      </c>
      <c r="J10" s="8"/>
      <c r="K10" s="27"/>
      <c r="L10" s="9">
        <f t="shared" si="4"/>
        <v>42819.99454</v>
      </c>
      <c r="M10" s="2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28"/>
      <c r="B11" s="19">
        <v>42014.0</v>
      </c>
      <c r="C11" s="20">
        <v>2.0</v>
      </c>
      <c r="D11" s="26">
        <v>10.0</v>
      </c>
      <c r="E11" s="34">
        <f t="shared" si="3"/>
        <v>7183.548387</v>
      </c>
      <c r="F11" s="34">
        <v>0.16129032258064516</v>
      </c>
      <c r="G11" s="35">
        <f t="shared" si="1"/>
        <v>7117.081165</v>
      </c>
      <c r="H11" s="8"/>
      <c r="I11" s="9">
        <f t="shared" si="2"/>
        <v>2</v>
      </c>
      <c r="J11" s="8"/>
      <c r="K11" s="27"/>
      <c r="L11" s="9">
        <f t="shared" si="4"/>
        <v>42819.99454</v>
      </c>
      <c r="M11" s="27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28"/>
      <c r="B12" s="19">
        <v>42015.0</v>
      </c>
      <c r="C12" s="20">
        <v>2.0</v>
      </c>
      <c r="D12" s="26">
        <v>11.0</v>
      </c>
      <c r="E12" s="34">
        <f t="shared" si="3"/>
        <v>7183.548387</v>
      </c>
      <c r="F12" s="34">
        <v>0.12903225806451613</v>
      </c>
      <c r="G12" s="35">
        <f t="shared" si="1"/>
        <v>7130.37461</v>
      </c>
      <c r="H12" s="8"/>
      <c r="I12" s="9">
        <f t="shared" si="2"/>
        <v>2</v>
      </c>
      <c r="J12" s="8"/>
      <c r="K12" s="27"/>
      <c r="L12" s="9">
        <f t="shared" si="4"/>
        <v>42819.99454</v>
      </c>
      <c r="M12" s="2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28"/>
      <c r="B13" s="19">
        <v>42016.0</v>
      </c>
      <c r="C13" s="20">
        <v>2.0</v>
      </c>
      <c r="D13" s="26">
        <v>12.0</v>
      </c>
      <c r="E13" s="34">
        <f t="shared" si="3"/>
        <v>7183.548387</v>
      </c>
      <c r="F13" s="34">
        <v>0.0967741935483871</v>
      </c>
      <c r="G13" s="35">
        <f t="shared" si="1"/>
        <v>7143.668054</v>
      </c>
      <c r="H13" s="8"/>
      <c r="I13" s="9">
        <f t="shared" si="2"/>
        <v>2</v>
      </c>
      <c r="J13" s="8"/>
      <c r="K13" s="27"/>
      <c r="L13" s="9">
        <f t="shared" si="4"/>
        <v>42819.99454</v>
      </c>
      <c r="M13" s="27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28"/>
      <c r="B14" s="19">
        <v>42017.0</v>
      </c>
      <c r="C14" s="20">
        <v>2.0</v>
      </c>
      <c r="D14" s="26">
        <v>13.0</v>
      </c>
      <c r="E14" s="34">
        <f t="shared" si="3"/>
        <v>7183.548387</v>
      </c>
      <c r="F14" s="34">
        <v>0.06451612903225806</v>
      </c>
      <c r="G14" s="35">
        <f t="shared" si="1"/>
        <v>7156.961498</v>
      </c>
      <c r="H14" s="8"/>
      <c r="I14" s="9">
        <f t="shared" si="2"/>
        <v>2</v>
      </c>
      <c r="J14" s="8"/>
      <c r="K14" s="27"/>
      <c r="L14" s="9">
        <f t="shared" si="4"/>
        <v>42819.99454</v>
      </c>
      <c r="M14" s="27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28"/>
      <c r="B15" s="19">
        <v>42018.0</v>
      </c>
      <c r="C15" s="20">
        <v>2.0</v>
      </c>
      <c r="D15" s="26">
        <v>14.0</v>
      </c>
      <c r="E15" s="34">
        <f t="shared" si="3"/>
        <v>7183.548387</v>
      </c>
      <c r="F15" s="34">
        <v>0.03225806451612903</v>
      </c>
      <c r="G15" s="35">
        <f t="shared" si="1"/>
        <v>7170.254943</v>
      </c>
      <c r="H15" s="8"/>
      <c r="I15" s="9">
        <f t="shared" si="2"/>
        <v>2</v>
      </c>
      <c r="J15" s="8"/>
      <c r="K15" s="27"/>
      <c r="L15" s="9">
        <f t="shared" si="4"/>
        <v>42819.99454</v>
      </c>
      <c r="M15" s="27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3"/>
      <c r="B16" s="19">
        <v>42019.0</v>
      </c>
      <c r="C16" s="20">
        <v>3.0</v>
      </c>
      <c r="D16" s="26">
        <v>15.0</v>
      </c>
      <c r="E16" s="34">
        <f t="shared" si="3"/>
        <v>7183.548387</v>
      </c>
      <c r="F16" s="34">
        <v>1.0</v>
      </c>
      <c r="G16" s="35">
        <f t="shared" si="1"/>
        <v>7183.548387</v>
      </c>
      <c r="H16" s="8"/>
      <c r="I16" s="9">
        <f t="shared" si="2"/>
        <v>3</v>
      </c>
      <c r="J16" s="22">
        <f>SUM(G16:G22)</f>
        <v>50407.75754</v>
      </c>
      <c r="K16" s="24">
        <v>50407.75754</v>
      </c>
      <c r="L16" s="9">
        <f t="shared" si="4"/>
        <v>42819.99454</v>
      </c>
      <c r="M16" s="24">
        <v>42819.99454</v>
      </c>
      <c r="N16" s="25">
        <v>13019.23837</v>
      </c>
      <c r="O16" s="25">
        <v>11459.43021</v>
      </c>
      <c r="P16" s="25">
        <v>2929.051416</v>
      </c>
      <c r="Q16" s="25">
        <v>23018.39259</v>
      </c>
      <c r="R16" s="18"/>
      <c r="S16" s="25">
        <v>11279.81535</v>
      </c>
      <c r="T16" s="25">
        <v>10250.76977</v>
      </c>
      <c r="U16" s="25">
        <v>2672.761066</v>
      </c>
      <c r="V16" s="25">
        <v>18642.71781</v>
      </c>
      <c r="W16" s="25">
        <v>1739.423027</v>
      </c>
      <c r="X16" s="25">
        <v>1208.660441</v>
      </c>
      <c r="Y16" s="25">
        <v>256.2903501</v>
      </c>
      <c r="Z16" s="25">
        <v>4375.674785</v>
      </c>
    </row>
    <row r="17">
      <c r="A17" s="13"/>
      <c r="B17" s="19">
        <v>42020.0</v>
      </c>
      <c r="C17" s="20">
        <v>3.0</v>
      </c>
      <c r="D17" s="26">
        <v>16.0</v>
      </c>
      <c r="E17" s="34">
        <f t="shared" si="3"/>
        <v>7183.548387</v>
      </c>
      <c r="F17" s="34">
        <f t="shared" ref="F17:F46" si="5">abs((D17-46)/(46-15))</f>
        <v>0.9677419355</v>
      </c>
      <c r="G17" s="35">
        <f t="shared" ref="G17:G44" si="6">E2*F17+(1-F17)*E33</f>
        <v>7189.401665</v>
      </c>
      <c r="H17" s="8"/>
      <c r="I17" s="9">
        <f t="shared" si="2"/>
        <v>3</v>
      </c>
      <c r="J17" s="8"/>
      <c r="K17" s="27"/>
      <c r="L17" s="9">
        <f t="shared" si="4"/>
        <v>42819.99454</v>
      </c>
      <c r="M17" s="27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28"/>
      <c r="B18" s="19">
        <v>42021.0</v>
      </c>
      <c r="C18" s="20">
        <v>3.0</v>
      </c>
      <c r="D18" s="26">
        <v>17.0</v>
      </c>
      <c r="E18" s="34">
        <f t="shared" si="3"/>
        <v>7183.548387</v>
      </c>
      <c r="F18" s="34">
        <f t="shared" si="5"/>
        <v>0.935483871</v>
      </c>
      <c r="G18" s="35">
        <f t="shared" si="6"/>
        <v>7195.254943</v>
      </c>
      <c r="H18" s="8"/>
      <c r="I18" s="9">
        <f t="shared" si="2"/>
        <v>3</v>
      </c>
      <c r="J18" s="8"/>
      <c r="K18" s="27"/>
      <c r="L18" s="9">
        <f t="shared" si="4"/>
        <v>42819.99454</v>
      </c>
      <c r="M18" s="27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28"/>
      <c r="B19" s="19">
        <v>42022.0</v>
      </c>
      <c r="C19" s="20">
        <v>3.0</v>
      </c>
      <c r="D19" s="26">
        <v>18.0</v>
      </c>
      <c r="E19" s="34">
        <f t="shared" si="3"/>
        <v>7183.548387</v>
      </c>
      <c r="F19" s="34">
        <f t="shared" si="5"/>
        <v>0.9032258065</v>
      </c>
      <c r="G19" s="35">
        <f t="shared" si="6"/>
        <v>7201.108221</v>
      </c>
      <c r="H19" s="8"/>
      <c r="I19" s="9">
        <f t="shared" si="2"/>
        <v>3</v>
      </c>
      <c r="J19" s="8"/>
      <c r="K19" s="27"/>
      <c r="L19" s="9">
        <f t="shared" si="4"/>
        <v>42819.99454</v>
      </c>
      <c r="M19" s="27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28"/>
      <c r="B20" s="19">
        <v>42023.0</v>
      </c>
      <c r="C20" s="20">
        <v>3.0</v>
      </c>
      <c r="D20" s="26">
        <v>19.0</v>
      </c>
      <c r="E20" s="34">
        <f t="shared" si="3"/>
        <v>7183.548387</v>
      </c>
      <c r="F20" s="34">
        <f t="shared" si="5"/>
        <v>0.8709677419</v>
      </c>
      <c r="G20" s="35">
        <f t="shared" si="6"/>
        <v>7206.961498</v>
      </c>
      <c r="H20" s="8"/>
      <c r="I20" s="9">
        <f t="shared" si="2"/>
        <v>3</v>
      </c>
      <c r="J20" s="8"/>
      <c r="K20" s="27"/>
      <c r="L20" s="9">
        <f t="shared" si="4"/>
        <v>42819.99454</v>
      </c>
      <c r="M20" s="27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28"/>
      <c r="B21" s="19">
        <v>42024.0</v>
      </c>
      <c r="C21" s="20">
        <v>3.0</v>
      </c>
      <c r="D21" s="26">
        <v>20.0</v>
      </c>
      <c r="E21" s="34">
        <f t="shared" si="3"/>
        <v>7183.548387</v>
      </c>
      <c r="F21" s="34">
        <f t="shared" si="5"/>
        <v>0.8387096774</v>
      </c>
      <c r="G21" s="35">
        <f t="shared" si="6"/>
        <v>7212.814776</v>
      </c>
      <c r="H21" s="8"/>
      <c r="I21" s="9">
        <f t="shared" si="2"/>
        <v>3</v>
      </c>
      <c r="J21" s="8"/>
      <c r="K21" s="27"/>
      <c r="L21" s="9">
        <f t="shared" si="4"/>
        <v>42819.99454</v>
      </c>
      <c r="M21" s="27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28"/>
      <c r="B22" s="19">
        <v>42025.0</v>
      </c>
      <c r="C22" s="20">
        <v>3.0</v>
      </c>
      <c r="D22" s="26">
        <v>21.0</v>
      </c>
      <c r="E22" s="34">
        <f t="shared" si="3"/>
        <v>7183.548387</v>
      </c>
      <c r="F22" s="34">
        <f t="shared" si="5"/>
        <v>0.8064516129</v>
      </c>
      <c r="G22" s="35">
        <f t="shared" si="6"/>
        <v>7218.668054</v>
      </c>
      <c r="H22" s="8"/>
      <c r="I22" s="9">
        <f t="shared" si="2"/>
        <v>3</v>
      </c>
      <c r="J22" s="8"/>
      <c r="K22" s="27"/>
      <c r="L22" s="9">
        <f t="shared" si="4"/>
        <v>42819.99454</v>
      </c>
      <c r="M22" s="27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28"/>
      <c r="B23" s="19">
        <v>42026.0</v>
      </c>
      <c r="C23" s="20">
        <v>4.0</v>
      </c>
      <c r="D23" s="26">
        <v>22.0</v>
      </c>
      <c r="E23" s="34">
        <f t="shared" si="3"/>
        <v>7183.548387</v>
      </c>
      <c r="F23" s="34">
        <f t="shared" si="5"/>
        <v>0.7741935484</v>
      </c>
      <c r="G23" s="35">
        <f t="shared" si="6"/>
        <v>7224.521332</v>
      </c>
      <c r="H23" s="8"/>
      <c r="I23" s="9">
        <f t="shared" si="2"/>
        <v>4</v>
      </c>
      <c r="J23" s="22">
        <f>SUM(G23:G29)</f>
        <v>50694.56816</v>
      </c>
      <c r="K23" s="24">
        <v>50694.56816</v>
      </c>
      <c r="L23" s="9">
        <f t="shared" si="4"/>
        <v>42819.99454</v>
      </c>
      <c r="M23" s="24">
        <v>42819.99454</v>
      </c>
      <c r="N23" s="25">
        <v>13080.8754</v>
      </c>
      <c r="O23" s="25">
        <v>11902.14299</v>
      </c>
      <c r="P23" s="25">
        <v>2943.14645</v>
      </c>
      <c r="Q23" s="25">
        <v>21096.49978</v>
      </c>
      <c r="R23" s="18"/>
      <c r="S23" s="25">
        <v>10941.61902</v>
      </c>
      <c r="T23" s="25">
        <v>9804.569455</v>
      </c>
      <c r="U23" s="25">
        <v>2566.722404</v>
      </c>
      <c r="V23" s="25">
        <v>19043.16592</v>
      </c>
      <c r="W23" s="25">
        <v>2139.256374</v>
      </c>
      <c r="X23" s="25">
        <v>2097.573532</v>
      </c>
      <c r="Y23" s="25">
        <v>376.4240466</v>
      </c>
      <c r="Z23" s="25">
        <v>2053.333855</v>
      </c>
    </row>
    <row r="24">
      <c r="A24" s="28"/>
      <c r="B24" s="19">
        <v>42027.0</v>
      </c>
      <c r="C24" s="20">
        <v>4.0</v>
      </c>
      <c r="D24" s="26">
        <v>23.0</v>
      </c>
      <c r="E24" s="34">
        <f t="shared" si="3"/>
        <v>7183.548387</v>
      </c>
      <c r="F24" s="34">
        <f t="shared" si="5"/>
        <v>0.7419354839</v>
      </c>
      <c r="G24" s="35">
        <f t="shared" si="6"/>
        <v>7230.37461</v>
      </c>
      <c r="H24" s="8"/>
      <c r="I24" s="9">
        <f t="shared" si="2"/>
        <v>4</v>
      </c>
      <c r="J24" s="8"/>
      <c r="K24" s="27"/>
      <c r="L24" s="9">
        <f t="shared" si="4"/>
        <v>42819.99454</v>
      </c>
      <c r="M24" s="27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28"/>
      <c r="B25" s="19">
        <v>42028.0</v>
      </c>
      <c r="C25" s="20">
        <v>4.0</v>
      </c>
      <c r="D25" s="26">
        <v>24.0</v>
      </c>
      <c r="E25" s="34">
        <f t="shared" si="3"/>
        <v>7183.548387</v>
      </c>
      <c r="F25" s="34">
        <f t="shared" si="5"/>
        <v>0.7096774194</v>
      </c>
      <c r="G25" s="35">
        <f t="shared" si="6"/>
        <v>7236.227888</v>
      </c>
      <c r="H25" s="8"/>
      <c r="I25" s="9">
        <f t="shared" si="2"/>
        <v>4</v>
      </c>
      <c r="J25" s="8"/>
      <c r="K25" s="27"/>
      <c r="L25" s="9">
        <f t="shared" si="4"/>
        <v>42819.99454</v>
      </c>
      <c r="M25" s="27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28"/>
      <c r="B26" s="19">
        <v>42029.0</v>
      </c>
      <c r="C26" s="20">
        <v>4.0</v>
      </c>
      <c r="D26" s="26">
        <v>25.0</v>
      </c>
      <c r="E26" s="34">
        <f t="shared" si="3"/>
        <v>7183.548387</v>
      </c>
      <c r="F26" s="34">
        <f t="shared" si="5"/>
        <v>0.6774193548</v>
      </c>
      <c r="G26" s="35">
        <f t="shared" si="6"/>
        <v>7242.081165</v>
      </c>
      <c r="H26" s="8"/>
      <c r="I26" s="9">
        <f t="shared" si="2"/>
        <v>4</v>
      </c>
      <c r="J26" s="8"/>
      <c r="K26" s="27"/>
      <c r="L26" s="9">
        <f t="shared" si="4"/>
        <v>42819.99454</v>
      </c>
      <c r="M26" s="27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28"/>
      <c r="B27" s="19">
        <v>42030.0</v>
      </c>
      <c r="C27" s="20">
        <v>4.0</v>
      </c>
      <c r="D27" s="26">
        <v>26.0</v>
      </c>
      <c r="E27" s="34">
        <f t="shared" si="3"/>
        <v>7183.548387</v>
      </c>
      <c r="F27" s="34">
        <f t="shared" si="5"/>
        <v>0.6451612903</v>
      </c>
      <c r="G27" s="35">
        <f t="shared" si="6"/>
        <v>7247.934443</v>
      </c>
      <c r="H27" s="8"/>
      <c r="I27" s="9">
        <f t="shared" si="2"/>
        <v>4</v>
      </c>
      <c r="J27" s="8"/>
      <c r="K27" s="27"/>
      <c r="L27" s="9">
        <f t="shared" si="4"/>
        <v>42819.99454</v>
      </c>
      <c r="M27" s="27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28"/>
      <c r="B28" s="19">
        <v>42031.0</v>
      </c>
      <c r="C28" s="20">
        <v>4.0</v>
      </c>
      <c r="D28" s="26">
        <v>27.0</v>
      </c>
      <c r="E28" s="34">
        <f t="shared" si="3"/>
        <v>7183.548387</v>
      </c>
      <c r="F28" s="34">
        <f t="shared" si="5"/>
        <v>0.6129032258</v>
      </c>
      <c r="G28" s="35">
        <f t="shared" si="6"/>
        <v>7253.787721</v>
      </c>
      <c r="H28" s="8"/>
      <c r="I28" s="9">
        <f t="shared" si="2"/>
        <v>4</v>
      </c>
      <c r="J28" s="8"/>
      <c r="K28" s="27"/>
      <c r="L28" s="9">
        <f t="shared" si="4"/>
        <v>42819.99454</v>
      </c>
      <c r="M28" s="27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28"/>
      <c r="B29" s="19">
        <v>42032.0</v>
      </c>
      <c r="C29" s="20">
        <v>4.0</v>
      </c>
      <c r="D29" s="26">
        <v>28.0</v>
      </c>
      <c r="E29" s="34">
        <f t="shared" si="3"/>
        <v>7183.548387</v>
      </c>
      <c r="F29" s="34">
        <f t="shared" si="5"/>
        <v>0.5806451613</v>
      </c>
      <c r="G29" s="35">
        <f t="shared" si="6"/>
        <v>7259.640999</v>
      </c>
      <c r="H29" s="8"/>
      <c r="I29" s="9">
        <f t="shared" si="2"/>
        <v>4</v>
      </c>
      <c r="J29" s="8"/>
      <c r="K29" s="27"/>
      <c r="L29" s="9">
        <f t="shared" si="4"/>
        <v>42819.99454</v>
      </c>
      <c r="M29" s="27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28"/>
      <c r="B30" s="19">
        <v>42033.0</v>
      </c>
      <c r="C30" s="20">
        <v>5.0</v>
      </c>
      <c r="D30" s="26">
        <v>29.0</v>
      </c>
      <c r="E30" s="34">
        <f t="shared" si="3"/>
        <v>7183.548387</v>
      </c>
      <c r="F30" s="34">
        <f t="shared" si="5"/>
        <v>0.5483870968</v>
      </c>
      <c r="G30" s="35">
        <f t="shared" si="6"/>
        <v>7265.494277</v>
      </c>
      <c r="H30" s="8"/>
      <c r="I30" s="9">
        <f t="shared" si="2"/>
        <v>5</v>
      </c>
      <c r="J30" s="22">
        <f>SUM(G30:G36)</f>
        <v>50981.37877</v>
      </c>
      <c r="K30" s="24">
        <v>50981.37877</v>
      </c>
      <c r="L30" s="9">
        <f t="shared" si="4"/>
        <v>42819.99454</v>
      </c>
      <c r="M30" s="24">
        <v>42819.99454</v>
      </c>
      <c r="N30" s="25">
        <v>13777.10885</v>
      </c>
      <c r="O30" s="25">
        <v>12678.83449</v>
      </c>
      <c r="P30" s="25">
        <v>3045.863755</v>
      </c>
      <c r="Q30" s="25">
        <v>21784.46825</v>
      </c>
      <c r="R30" s="18"/>
      <c r="S30" s="25">
        <v>11353.47865</v>
      </c>
      <c r="T30" s="25">
        <v>10492.05127</v>
      </c>
      <c r="U30" s="25">
        <v>2641.128876</v>
      </c>
      <c r="V30" s="25">
        <v>18034.45118</v>
      </c>
      <c r="W30" s="25">
        <v>2423.630207</v>
      </c>
      <c r="X30" s="25">
        <v>2186.783217</v>
      </c>
      <c r="Y30" s="25">
        <v>404.7348783</v>
      </c>
      <c r="Z30" s="25">
        <v>3750.017071</v>
      </c>
    </row>
    <row r="31">
      <c r="A31" s="28"/>
      <c r="B31" s="19">
        <v>42034.0</v>
      </c>
      <c r="C31" s="20">
        <v>5.0</v>
      </c>
      <c r="D31" s="26">
        <v>30.0</v>
      </c>
      <c r="E31" s="34">
        <f t="shared" si="3"/>
        <v>7183.548387</v>
      </c>
      <c r="F31" s="34">
        <f t="shared" si="5"/>
        <v>0.5161290323</v>
      </c>
      <c r="G31" s="35">
        <f t="shared" si="6"/>
        <v>7271.347555</v>
      </c>
      <c r="H31" s="8"/>
      <c r="I31" s="9">
        <f t="shared" si="2"/>
        <v>5</v>
      </c>
      <c r="J31" s="8"/>
      <c r="K31" s="27"/>
      <c r="L31" s="9">
        <f t="shared" si="4"/>
        <v>42819.99454</v>
      </c>
      <c r="M31" s="27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28"/>
      <c r="B32" s="19">
        <v>42035.0</v>
      </c>
      <c r="C32" s="20">
        <v>5.0</v>
      </c>
      <c r="D32" s="26">
        <v>31.0</v>
      </c>
      <c r="E32" s="34">
        <f t="shared" si="3"/>
        <v>7183.548387</v>
      </c>
      <c r="F32" s="34">
        <f t="shared" si="5"/>
        <v>0.4838709677</v>
      </c>
      <c r="G32" s="35">
        <f t="shared" si="6"/>
        <v>7277.200832</v>
      </c>
      <c r="H32" s="8"/>
      <c r="I32" s="9">
        <f t="shared" si="2"/>
        <v>5</v>
      </c>
      <c r="J32" s="8"/>
      <c r="K32" s="27"/>
      <c r="L32" s="9">
        <f t="shared" si="4"/>
        <v>42819.99454</v>
      </c>
      <c r="M32" s="27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3" t="s">
        <v>65</v>
      </c>
      <c r="B33" s="19">
        <v>42036.0</v>
      </c>
      <c r="C33" s="20">
        <v>5.0</v>
      </c>
      <c r="D33" s="21">
        <v>32.0</v>
      </c>
      <c r="E33" s="34">
        <f>A34/28</f>
        <v>7365</v>
      </c>
      <c r="F33" s="34">
        <f t="shared" si="5"/>
        <v>0.4516129032</v>
      </c>
      <c r="G33" s="35">
        <f t="shared" si="6"/>
        <v>7283.05411</v>
      </c>
      <c r="H33" s="8"/>
      <c r="I33" s="9">
        <f t="shared" si="2"/>
        <v>5</v>
      </c>
      <c r="J33" s="8"/>
      <c r="K33" s="27"/>
      <c r="L33" s="9">
        <f t="shared" si="4"/>
        <v>42819.99454</v>
      </c>
      <c r="M33" s="27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20">
        <v>206220.0</v>
      </c>
      <c r="B34" s="19">
        <v>42037.0</v>
      </c>
      <c r="C34" s="20">
        <v>5.0</v>
      </c>
      <c r="D34" s="26">
        <v>33.0</v>
      </c>
      <c r="E34" s="34">
        <f t="shared" ref="E34:E60" si="7">E33</f>
        <v>7365</v>
      </c>
      <c r="F34" s="34">
        <f t="shared" si="5"/>
        <v>0.4193548387</v>
      </c>
      <c r="G34" s="35">
        <f t="shared" si="6"/>
        <v>7288.907388</v>
      </c>
      <c r="H34" s="8"/>
      <c r="I34" s="9">
        <f t="shared" si="2"/>
        <v>5</v>
      </c>
      <c r="J34" s="8"/>
      <c r="K34" s="27"/>
      <c r="L34" s="9">
        <f t="shared" si="4"/>
        <v>42819.99454</v>
      </c>
      <c r="M34" s="27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28"/>
      <c r="B35" s="19">
        <v>42038.0</v>
      </c>
      <c r="C35" s="20">
        <v>5.0</v>
      </c>
      <c r="D35" s="26">
        <v>34.0</v>
      </c>
      <c r="E35" s="34">
        <f t="shared" si="7"/>
        <v>7365</v>
      </c>
      <c r="F35" s="34">
        <f t="shared" si="5"/>
        <v>0.3870967742</v>
      </c>
      <c r="G35" s="35">
        <f t="shared" si="6"/>
        <v>7294.760666</v>
      </c>
      <c r="H35" s="8"/>
      <c r="I35" s="9">
        <f t="shared" si="2"/>
        <v>5</v>
      </c>
      <c r="J35" s="8"/>
      <c r="K35" s="27"/>
      <c r="L35" s="9">
        <f t="shared" si="4"/>
        <v>42819.99454</v>
      </c>
      <c r="M35" s="27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28"/>
      <c r="B36" s="19">
        <v>42039.0</v>
      </c>
      <c r="C36" s="20">
        <v>5.0</v>
      </c>
      <c r="D36" s="26">
        <v>35.0</v>
      </c>
      <c r="E36" s="34">
        <f t="shared" si="7"/>
        <v>7365</v>
      </c>
      <c r="F36" s="34">
        <f t="shared" si="5"/>
        <v>0.3548387097</v>
      </c>
      <c r="G36" s="35">
        <f t="shared" si="6"/>
        <v>7300.613944</v>
      </c>
      <c r="H36" s="8"/>
      <c r="I36" s="9">
        <f t="shared" si="2"/>
        <v>5</v>
      </c>
      <c r="J36" s="8"/>
      <c r="K36" s="27"/>
      <c r="L36" s="9">
        <f t="shared" si="4"/>
        <v>42819.99454</v>
      </c>
      <c r="M36" s="27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28"/>
      <c r="B37" s="19">
        <v>42040.0</v>
      </c>
      <c r="C37" s="20">
        <v>6.0</v>
      </c>
      <c r="D37" s="26">
        <v>36.0</v>
      </c>
      <c r="E37" s="34">
        <f t="shared" si="7"/>
        <v>7365</v>
      </c>
      <c r="F37" s="34">
        <f t="shared" si="5"/>
        <v>0.3225806452</v>
      </c>
      <c r="G37" s="35">
        <f t="shared" si="6"/>
        <v>7306.467222</v>
      </c>
      <c r="H37" s="8"/>
      <c r="I37" s="9">
        <f t="shared" si="2"/>
        <v>6</v>
      </c>
      <c r="J37" s="22">
        <f>SUM(G37:G43)</f>
        <v>51268.18939</v>
      </c>
      <c r="K37" s="24">
        <v>51268.18939</v>
      </c>
      <c r="L37" s="9">
        <f t="shared" si="4"/>
        <v>42819.99454</v>
      </c>
      <c r="M37" s="24">
        <v>42819.99454</v>
      </c>
      <c r="N37" s="25">
        <v>13323.35312</v>
      </c>
      <c r="O37" s="25">
        <v>12374.60607</v>
      </c>
      <c r="P37" s="25">
        <v>3122.072918</v>
      </c>
      <c r="Q37" s="25">
        <v>21293.87407</v>
      </c>
      <c r="R37" s="18"/>
      <c r="S37" s="25">
        <v>11819.22849</v>
      </c>
      <c r="T37" s="25">
        <v>10165.23006</v>
      </c>
      <c r="U37" s="25">
        <v>2505.55345</v>
      </c>
      <c r="V37" s="25">
        <v>19269.32898</v>
      </c>
      <c r="W37" s="25">
        <v>1504.124626</v>
      </c>
      <c r="X37" s="25">
        <v>2209.376008</v>
      </c>
      <c r="Y37" s="25">
        <v>616.5194678</v>
      </c>
      <c r="Z37" s="25">
        <v>2024.545091</v>
      </c>
    </row>
    <row r="38">
      <c r="A38" s="28"/>
      <c r="B38" s="19">
        <v>42041.0</v>
      </c>
      <c r="C38" s="20">
        <v>6.0</v>
      </c>
      <c r="D38" s="26">
        <v>37.0</v>
      </c>
      <c r="E38" s="34">
        <f t="shared" si="7"/>
        <v>7365</v>
      </c>
      <c r="F38" s="34">
        <f t="shared" si="5"/>
        <v>0.2903225806</v>
      </c>
      <c r="G38" s="35">
        <f t="shared" si="6"/>
        <v>7312.320499</v>
      </c>
      <c r="H38" s="8"/>
      <c r="I38" s="9">
        <f t="shared" si="2"/>
        <v>6</v>
      </c>
      <c r="J38" s="8"/>
      <c r="K38" s="27"/>
      <c r="L38" s="9">
        <f t="shared" si="4"/>
        <v>42819.99454</v>
      </c>
      <c r="M38" s="27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28"/>
      <c r="B39" s="19">
        <v>42042.0</v>
      </c>
      <c r="C39" s="20">
        <v>6.0</v>
      </c>
      <c r="D39" s="26">
        <v>38.0</v>
      </c>
      <c r="E39" s="34">
        <f t="shared" si="7"/>
        <v>7365</v>
      </c>
      <c r="F39" s="34">
        <f t="shared" si="5"/>
        <v>0.2580645161</v>
      </c>
      <c r="G39" s="35">
        <f t="shared" si="6"/>
        <v>7318.173777</v>
      </c>
      <c r="H39" s="8"/>
      <c r="I39" s="9">
        <f t="shared" si="2"/>
        <v>6</v>
      </c>
      <c r="J39" s="8"/>
      <c r="K39" s="27"/>
      <c r="L39" s="9">
        <f t="shared" si="4"/>
        <v>42819.99454</v>
      </c>
      <c r="M39" s="27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28"/>
      <c r="B40" s="19">
        <v>42043.0</v>
      </c>
      <c r="C40" s="20">
        <v>6.0</v>
      </c>
      <c r="D40" s="26">
        <v>39.0</v>
      </c>
      <c r="E40" s="34">
        <f t="shared" si="7"/>
        <v>7365</v>
      </c>
      <c r="F40" s="34">
        <f t="shared" si="5"/>
        <v>0.2258064516</v>
      </c>
      <c r="G40" s="35">
        <f t="shared" si="6"/>
        <v>7324.027055</v>
      </c>
      <c r="H40" s="8"/>
      <c r="I40" s="9">
        <f t="shared" si="2"/>
        <v>6</v>
      </c>
      <c r="J40" s="8"/>
      <c r="K40" s="27"/>
      <c r="L40" s="9">
        <f t="shared" si="4"/>
        <v>42819.99454</v>
      </c>
      <c r="M40" s="27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28"/>
      <c r="B41" s="19">
        <v>42044.0</v>
      </c>
      <c r="C41" s="20">
        <v>6.0</v>
      </c>
      <c r="D41" s="26">
        <v>40.0</v>
      </c>
      <c r="E41" s="34">
        <f t="shared" si="7"/>
        <v>7365</v>
      </c>
      <c r="F41" s="34">
        <f t="shared" si="5"/>
        <v>0.1935483871</v>
      </c>
      <c r="G41" s="35">
        <f t="shared" si="6"/>
        <v>7329.880333</v>
      </c>
      <c r="H41" s="8"/>
      <c r="I41" s="9">
        <f t="shared" si="2"/>
        <v>6</v>
      </c>
      <c r="J41" s="8"/>
      <c r="K41" s="27"/>
      <c r="L41" s="9">
        <f t="shared" si="4"/>
        <v>42819.99454</v>
      </c>
      <c r="M41" s="27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28"/>
      <c r="B42" s="19">
        <v>42045.0</v>
      </c>
      <c r="C42" s="20">
        <v>6.0</v>
      </c>
      <c r="D42" s="26">
        <v>41.0</v>
      </c>
      <c r="E42" s="34">
        <f t="shared" si="7"/>
        <v>7365</v>
      </c>
      <c r="F42" s="34">
        <f t="shared" si="5"/>
        <v>0.1612903226</v>
      </c>
      <c r="G42" s="35">
        <f t="shared" si="6"/>
        <v>7335.733611</v>
      </c>
      <c r="H42" s="8"/>
      <c r="I42" s="9">
        <f t="shared" si="2"/>
        <v>6</v>
      </c>
      <c r="J42" s="8"/>
      <c r="K42" s="27"/>
      <c r="L42" s="9">
        <f t="shared" si="4"/>
        <v>42819.99454</v>
      </c>
      <c r="M42" s="27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28"/>
      <c r="B43" s="19">
        <v>42046.0</v>
      </c>
      <c r="C43" s="20">
        <v>6.0</v>
      </c>
      <c r="D43" s="26">
        <v>42.0</v>
      </c>
      <c r="E43" s="34">
        <f t="shared" si="7"/>
        <v>7365</v>
      </c>
      <c r="F43" s="34">
        <f t="shared" si="5"/>
        <v>0.1290322581</v>
      </c>
      <c r="G43" s="35">
        <f t="shared" si="6"/>
        <v>7341.586889</v>
      </c>
      <c r="H43" s="8"/>
      <c r="I43" s="9">
        <f t="shared" si="2"/>
        <v>6</v>
      </c>
      <c r="J43" s="8"/>
      <c r="K43" s="27"/>
      <c r="L43" s="9">
        <f t="shared" si="4"/>
        <v>42819.99454</v>
      </c>
      <c r="M43" s="27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28"/>
      <c r="B44" s="19">
        <v>42047.0</v>
      </c>
      <c r="C44" s="20">
        <v>7.0</v>
      </c>
      <c r="D44" s="26">
        <v>43.0</v>
      </c>
      <c r="E44" s="34">
        <f t="shared" si="7"/>
        <v>7365</v>
      </c>
      <c r="F44" s="34">
        <f t="shared" si="5"/>
        <v>0.09677419355</v>
      </c>
      <c r="G44" s="35">
        <f t="shared" si="6"/>
        <v>7347.440166</v>
      </c>
      <c r="H44" s="8"/>
      <c r="I44" s="9">
        <f t="shared" si="2"/>
        <v>7</v>
      </c>
      <c r="J44" s="22">
        <f>SUM(G44:G50)</f>
        <v>51458.18678</v>
      </c>
      <c r="K44" s="24">
        <v>51458.18678</v>
      </c>
      <c r="L44" s="9">
        <f t="shared" si="4"/>
        <v>42819.99454</v>
      </c>
      <c r="M44" s="24">
        <v>42819.99454</v>
      </c>
      <c r="N44" s="25">
        <v>13800.98616</v>
      </c>
      <c r="O44" s="25">
        <v>12005.82689</v>
      </c>
      <c r="P44" s="25">
        <v>3074.912677</v>
      </c>
      <c r="Q44" s="25">
        <v>22369.33107</v>
      </c>
      <c r="R44" s="18"/>
      <c r="S44" s="25">
        <v>11391.76365</v>
      </c>
      <c r="T44" s="25">
        <v>9825.396419</v>
      </c>
      <c r="U44" s="25">
        <v>2474.344485</v>
      </c>
      <c r="V44" s="25">
        <v>18264.44027</v>
      </c>
      <c r="W44" s="25">
        <v>2409.222513</v>
      </c>
      <c r="X44" s="25">
        <v>2180.430473</v>
      </c>
      <c r="Y44" s="25">
        <v>600.5681918</v>
      </c>
      <c r="Z44" s="25">
        <v>4104.890803</v>
      </c>
    </row>
    <row r="45">
      <c r="A45" s="28"/>
      <c r="B45" s="19">
        <v>42048.0</v>
      </c>
      <c r="C45" s="20">
        <v>7.0</v>
      </c>
      <c r="D45" s="26">
        <v>44.0</v>
      </c>
      <c r="E45" s="34">
        <f t="shared" si="7"/>
        <v>7365</v>
      </c>
      <c r="F45" s="34">
        <f t="shared" si="5"/>
        <v>0.06451612903</v>
      </c>
      <c r="G45" s="35">
        <f>E30*F45+(1-F45)*E60</f>
        <v>7353.293444</v>
      </c>
      <c r="H45" s="8"/>
      <c r="I45" s="9">
        <f t="shared" si="2"/>
        <v>7</v>
      </c>
      <c r="J45" s="8"/>
      <c r="K45" s="27"/>
      <c r="L45" s="9">
        <f t="shared" si="4"/>
        <v>42819.99454</v>
      </c>
      <c r="M45" s="27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28"/>
      <c r="B46" s="19">
        <v>42049.0</v>
      </c>
      <c r="C46" s="20">
        <v>7.0</v>
      </c>
      <c r="D46" s="26">
        <v>45.0</v>
      </c>
      <c r="E46" s="34">
        <f t="shared" si="7"/>
        <v>7365</v>
      </c>
      <c r="F46" s="34">
        <f t="shared" si="5"/>
        <v>0.03225806452</v>
      </c>
      <c r="G46" s="35">
        <f>E31*F46+(1-F46)*E60</f>
        <v>7359.146722</v>
      </c>
      <c r="H46" s="8"/>
      <c r="I46" s="9">
        <f t="shared" si="2"/>
        <v>7</v>
      </c>
      <c r="J46" s="8"/>
      <c r="K46" s="27"/>
      <c r="L46" s="9">
        <f t="shared" si="4"/>
        <v>42819.99454</v>
      </c>
      <c r="M46" s="27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3"/>
      <c r="B47" s="19">
        <v>42050.0</v>
      </c>
      <c r="C47" s="20">
        <v>7.0</v>
      </c>
      <c r="D47" s="26">
        <v>46.0</v>
      </c>
      <c r="E47" s="34">
        <f t="shared" si="7"/>
        <v>7365</v>
      </c>
      <c r="F47" s="34">
        <v>1.0</v>
      </c>
      <c r="G47" s="35">
        <f>E47</f>
        <v>7365</v>
      </c>
      <c r="H47" s="8"/>
      <c r="I47" s="9">
        <f t="shared" si="2"/>
        <v>7</v>
      </c>
      <c r="J47" s="8"/>
      <c r="K47" s="27"/>
      <c r="L47" s="9">
        <f t="shared" si="4"/>
        <v>42819.99454</v>
      </c>
      <c r="M47" s="27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3"/>
      <c r="B48" s="19">
        <v>42051.0</v>
      </c>
      <c r="C48" s="20">
        <v>7.0</v>
      </c>
      <c r="D48" s="26">
        <v>47.0</v>
      </c>
      <c r="E48" s="34">
        <f t="shared" si="7"/>
        <v>7365</v>
      </c>
      <c r="F48" s="34">
        <f t="shared" ref="F48:F74" si="8">abs((D48-74)/(74-46))</f>
        <v>0.9642857143</v>
      </c>
      <c r="G48" s="35">
        <f t="shared" ref="G48:G75" si="9">E33*F48+(1-F48)*E62</f>
        <v>7354.717742</v>
      </c>
      <c r="H48" s="8"/>
      <c r="I48" s="9">
        <f t="shared" si="2"/>
        <v>7</v>
      </c>
      <c r="J48" s="8"/>
      <c r="K48" s="27"/>
      <c r="L48" s="9">
        <f t="shared" si="4"/>
        <v>42819.99454</v>
      </c>
      <c r="M48" s="27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28"/>
      <c r="B49" s="19">
        <v>42052.0</v>
      </c>
      <c r="C49" s="20">
        <v>7.0</v>
      </c>
      <c r="D49" s="26">
        <v>48.0</v>
      </c>
      <c r="E49" s="34">
        <f t="shared" si="7"/>
        <v>7365</v>
      </c>
      <c r="F49" s="34">
        <f t="shared" si="8"/>
        <v>0.9285714286</v>
      </c>
      <c r="G49" s="35">
        <f t="shared" si="9"/>
        <v>7344.435484</v>
      </c>
      <c r="H49" s="8"/>
      <c r="I49" s="9">
        <f t="shared" si="2"/>
        <v>7</v>
      </c>
      <c r="J49" s="8"/>
      <c r="K49" s="27"/>
      <c r="L49" s="9">
        <f t="shared" si="4"/>
        <v>42819.99454</v>
      </c>
      <c r="M49" s="27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28"/>
      <c r="B50" s="19">
        <v>42053.0</v>
      </c>
      <c r="C50" s="20">
        <v>7.0</v>
      </c>
      <c r="D50" s="26">
        <v>49.0</v>
      </c>
      <c r="E50" s="34">
        <f t="shared" si="7"/>
        <v>7365</v>
      </c>
      <c r="F50" s="34">
        <f t="shared" si="8"/>
        <v>0.8928571429</v>
      </c>
      <c r="G50" s="35">
        <f t="shared" si="9"/>
        <v>7334.153226</v>
      </c>
      <c r="H50" s="8"/>
      <c r="I50" s="9">
        <f t="shared" si="2"/>
        <v>7</v>
      </c>
      <c r="J50" s="8"/>
      <c r="K50" s="27"/>
      <c r="L50" s="9">
        <f t="shared" si="4"/>
        <v>42819.99454</v>
      </c>
      <c r="M50" s="27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28"/>
      <c r="B51" s="19">
        <v>42054.0</v>
      </c>
      <c r="C51" s="20">
        <v>8.0</v>
      </c>
      <c r="D51" s="26">
        <v>50.0</v>
      </c>
      <c r="E51" s="34">
        <f t="shared" si="7"/>
        <v>7365</v>
      </c>
      <c r="F51" s="34">
        <f t="shared" si="8"/>
        <v>0.8571428571</v>
      </c>
      <c r="G51" s="35">
        <f t="shared" si="9"/>
        <v>7323.870968</v>
      </c>
      <c r="H51" s="8"/>
      <c r="I51" s="9">
        <f t="shared" si="2"/>
        <v>8</v>
      </c>
      <c r="J51" s="22">
        <f>SUM(G51:G57)</f>
        <v>51051.16935</v>
      </c>
      <c r="K51" s="24">
        <v>51051.16935</v>
      </c>
      <c r="L51" s="9">
        <f t="shared" si="4"/>
        <v>42819.99454</v>
      </c>
      <c r="M51" s="24">
        <v>42819.99454</v>
      </c>
      <c r="N51" s="25">
        <v>13129.52949</v>
      </c>
      <c r="O51" s="25">
        <v>12383.54785</v>
      </c>
      <c r="P51" s="25">
        <v>3154.616723</v>
      </c>
      <c r="Q51" s="25">
        <v>22497.64853</v>
      </c>
      <c r="R51" s="18"/>
      <c r="S51" s="25">
        <v>11740.34566</v>
      </c>
      <c r="T51" s="25">
        <v>9677.552017</v>
      </c>
      <c r="U51" s="25">
        <v>2595.144981</v>
      </c>
      <c r="V51" s="25">
        <v>19250.93712</v>
      </c>
      <c r="W51" s="25">
        <v>1389.183833</v>
      </c>
      <c r="X51" s="25">
        <v>2705.995838</v>
      </c>
      <c r="Y51" s="25">
        <v>559.4717423</v>
      </c>
      <c r="Z51" s="25">
        <v>3246.71141</v>
      </c>
    </row>
    <row r="52">
      <c r="A52" s="28"/>
      <c r="B52" s="19">
        <v>42055.0</v>
      </c>
      <c r="C52" s="20">
        <v>8.0</v>
      </c>
      <c r="D52" s="26">
        <v>51.0</v>
      </c>
      <c r="E52" s="34">
        <f t="shared" si="7"/>
        <v>7365</v>
      </c>
      <c r="F52" s="34">
        <f t="shared" si="8"/>
        <v>0.8214285714</v>
      </c>
      <c r="G52" s="35">
        <f t="shared" si="9"/>
        <v>7313.58871</v>
      </c>
      <c r="H52" s="8"/>
      <c r="I52" s="9">
        <f t="shared" si="2"/>
        <v>8</v>
      </c>
      <c r="J52" s="8"/>
      <c r="K52" s="27"/>
      <c r="L52" s="9">
        <f t="shared" si="4"/>
        <v>42819.99454</v>
      </c>
      <c r="M52" s="27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28"/>
      <c r="B53" s="19">
        <v>42056.0</v>
      </c>
      <c r="C53" s="20">
        <v>8.0</v>
      </c>
      <c r="D53" s="26">
        <v>52.0</v>
      </c>
      <c r="E53" s="34">
        <f t="shared" si="7"/>
        <v>7365</v>
      </c>
      <c r="F53" s="34">
        <f t="shared" si="8"/>
        <v>0.7857142857</v>
      </c>
      <c r="G53" s="35">
        <f t="shared" si="9"/>
        <v>7303.306452</v>
      </c>
      <c r="H53" s="8"/>
      <c r="I53" s="9">
        <f t="shared" si="2"/>
        <v>8</v>
      </c>
      <c r="J53" s="8"/>
      <c r="K53" s="27"/>
      <c r="L53" s="9">
        <f t="shared" si="4"/>
        <v>42819.99454</v>
      </c>
      <c r="M53" s="27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28"/>
      <c r="B54" s="19">
        <v>42057.0</v>
      </c>
      <c r="C54" s="20">
        <v>8.0</v>
      </c>
      <c r="D54" s="26">
        <v>53.0</v>
      </c>
      <c r="E54" s="34">
        <f t="shared" si="7"/>
        <v>7365</v>
      </c>
      <c r="F54" s="34">
        <f t="shared" si="8"/>
        <v>0.75</v>
      </c>
      <c r="G54" s="35">
        <f t="shared" si="9"/>
        <v>7293.024194</v>
      </c>
      <c r="H54" s="8"/>
      <c r="I54" s="9">
        <f t="shared" si="2"/>
        <v>8</v>
      </c>
      <c r="J54" s="8"/>
      <c r="K54" s="27"/>
      <c r="L54" s="9">
        <f t="shared" si="4"/>
        <v>42819.99454</v>
      </c>
      <c r="M54" s="2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28"/>
      <c r="B55" s="19">
        <v>42058.0</v>
      </c>
      <c r="C55" s="20">
        <v>8.0</v>
      </c>
      <c r="D55" s="26">
        <v>54.0</v>
      </c>
      <c r="E55" s="34">
        <f t="shared" si="7"/>
        <v>7365</v>
      </c>
      <c r="F55" s="34">
        <f t="shared" si="8"/>
        <v>0.7142857143</v>
      </c>
      <c r="G55" s="35">
        <f t="shared" si="9"/>
        <v>7282.741935</v>
      </c>
      <c r="H55" s="8"/>
      <c r="I55" s="9">
        <f t="shared" si="2"/>
        <v>8</v>
      </c>
      <c r="J55" s="8"/>
      <c r="K55" s="27"/>
      <c r="L55" s="9">
        <f t="shared" si="4"/>
        <v>42819.99454</v>
      </c>
      <c r="M55" s="27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28"/>
      <c r="B56" s="19">
        <v>42059.0</v>
      </c>
      <c r="C56" s="20">
        <v>8.0</v>
      </c>
      <c r="D56" s="26">
        <v>55.0</v>
      </c>
      <c r="E56" s="34">
        <f t="shared" si="7"/>
        <v>7365</v>
      </c>
      <c r="F56" s="34">
        <f t="shared" si="8"/>
        <v>0.6785714286</v>
      </c>
      <c r="G56" s="35">
        <f t="shared" si="9"/>
        <v>7272.459677</v>
      </c>
      <c r="H56" s="8"/>
      <c r="I56" s="9">
        <f t="shared" si="2"/>
        <v>8</v>
      </c>
      <c r="J56" s="8"/>
      <c r="K56" s="27"/>
      <c r="L56" s="9">
        <f t="shared" si="4"/>
        <v>42819.99454</v>
      </c>
      <c r="M56" s="27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28"/>
      <c r="B57" s="19">
        <v>42060.0</v>
      </c>
      <c r="C57" s="20">
        <v>8.0</v>
      </c>
      <c r="D57" s="26">
        <v>56.0</v>
      </c>
      <c r="E57" s="34">
        <f t="shared" si="7"/>
        <v>7365</v>
      </c>
      <c r="F57" s="34">
        <f t="shared" si="8"/>
        <v>0.6428571429</v>
      </c>
      <c r="G57" s="35">
        <f t="shared" si="9"/>
        <v>7262.177419</v>
      </c>
      <c r="H57" s="8"/>
      <c r="I57" s="9">
        <f t="shared" si="2"/>
        <v>8</v>
      </c>
      <c r="J57" s="8"/>
      <c r="K57" s="27"/>
      <c r="L57" s="9">
        <f t="shared" si="4"/>
        <v>42819.99454</v>
      </c>
      <c r="M57" s="27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28"/>
      <c r="B58" s="19">
        <v>42061.0</v>
      </c>
      <c r="C58" s="20">
        <v>9.0</v>
      </c>
      <c r="D58" s="26">
        <v>57.0</v>
      </c>
      <c r="E58" s="34">
        <f t="shared" si="7"/>
        <v>7365</v>
      </c>
      <c r="F58" s="34">
        <f t="shared" si="8"/>
        <v>0.6071428571</v>
      </c>
      <c r="G58" s="35">
        <f t="shared" si="9"/>
        <v>7251.895161</v>
      </c>
      <c r="H58" s="8"/>
      <c r="I58" s="9">
        <f t="shared" si="2"/>
        <v>9</v>
      </c>
      <c r="J58" s="22">
        <f>SUM(G58:G64)</f>
        <v>50547.33871</v>
      </c>
      <c r="K58" s="24">
        <v>50547.33871</v>
      </c>
      <c r="L58" s="9">
        <f t="shared" si="4"/>
        <v>42819.99454</v>
      </c>
      <c r="M58" s="24">
        <v>42819.99454</v>
      </c>
      <c r="N58" s="25">
        <v>13167.0171</v>
      </c>
      <c r="O58" s="25">
        <v>12290.28495</v>
      </c>
      <c r="P58" s="25">
        <v>3117.534648</v>
      </c>
      <c r="Q58" s="25">
        <v>21861.02486</v>
      </c>
      <c r="R58" s="18"/>
      <c r="S58" s="25">
        <v>10945.28081</v>
      </c>
      <c r="T58" s="25">
        <v>10476.90958</v>
      </c>
      <c r="U58" s="25">
        <v>2591.196471</v>
      </c>
      <c r="V58" s="25">
        <v>19055.08323</v>
      </c>
      <c r="W58" s="25">
        <v>2221.736291</v>
      </c>
      <c r="X58" s="25">
        <v>1813.375374</v>
      </c>
      <c r="Y58" s="25">
        <v>526.3381771</v>
      </c>
      <c r="Z58" s="25">
        <v>2805.941632</v>
      </c>
    </row>
    <row r="59">
      <c r="A59" s="28"/>
      <c r="B59" s="19">
        <v>42062.0</v>
      </c>
      <c r="C59" s="20">
        <v>9.0</v>
      </c>
      <c r="D59" s="26">
        <v>58.0</v>
      </c>
      <c r="E59" s="34">
        <f t="shared" si="7"/>
        <v>7365</v>
      </c>
      <c r="F59" s="34">
        <f t="shared" si="8"/>
        <v>0.5714285714</v>
      </c>
      <c r="G59" s="35">
        <f t="shared" si="9"/>
        <v>7241.612903</v>
      </c>
      <c r="H59" s="8"/>
      <c r="I59" s="9">
        <f t="shared" si="2"/>
        <v>9</v>
      </c>
      <c r="J59" s="8"/>
      <c r="K59" s="27"/>
      <c r="L59" s="9">
        <f t="shared" si="4"/>
        <v>42819.99454</v>
      </c>
      <c r="M59" s="27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28"/>
      <c r="B60" s="19">
        <v>42063.0</v>
      </c>
      <c r="C60" s="20">
        <v>9.0</v>
      </c>
      <c r="D60" s="26">
        <v>59.0</v>
      </c>
      <c r="E60" s="34">
        <f t="shared" si="7"/>
        <v>7365</v>
      </c>
      <c r="F60" s="34">
        <f t="shared" si="8"/>
        <v>0.5357142857</v>
      </c>
      <c r="G60" s="35">
        <f t="shared" si="9"/>
        <v>7231.330645</v>
      </c>
      <c r="H60" s="8"/>
      <c r="I60" s="9">
        <f t="shared" si="2"/>
        <v>9</v>
      </c>
      <c r="J60" s="8"/>
      <c r="K60" s="27"/>
      <c r="L60" s="9">
        <f t="shared" si="4"/>
        <v>42819.99454</v>
      </c>
      <c r="M60" s="27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3" t="s">
        <v>66</v>
      </c>
      <c r="B61" s="19">
        <v>42064.0</v>
      </c>
      <c r="C61" s="20">
        <v>9.0</v>
      </c>
      <c r="D61" s="26">
        <v>60.0</v>
      </c>
      <c r="E61" s="34">
        <f>A63/31</f>
        <v>7077.096774</v>
      </c>
      <c r="F61" s="34">
        <f t="shared" si="8"/>
        <v>0.5</v>
      </c>
      <c r="G61" s="35">
        <f t="shared" si="9"/>
        <v>7221.048387</v>
      </c>
      <c r="H61" s="8"/>
      <c r="I61" s="9">
        <f t="shared" si="2"/>
        <v>9</v>
      </c>
      <c r="J61" s="8"/>
      <c r="K61" s="27"/>
      <c r="L61" s="9">
        <f t="shared" si="4"/>
        <v>42819.99454</v>
      </c>
      <c r="M61" s="27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28"/>
      <c r="B62" s="19">
        <v>42065.0</v>
      </c>
      <c r="C62" s="20">
        <v>9.0</v>
      </c>
      <c r="D62" s="26">
        <v>61.0</v>
      </c>
      <c r="E62" s="34">
        <f t="shared" ref="E62:E91" si="10">E61</f>
        <v>7077.096774</v>
      </c>
      <c r="F62" s="34">
        <f t="shared" si="8"/>
        <v>0.4642857143</v>
      </c>
      <c r="G62" s="35">
        <f t="shared" si="9"/>
        <v>7210.766129</v>
      </c>
      <c r="H62" s="8"/>
      <c r="I62" s="9">
        <f t="shared" si="2"/>
        <v>9</v>
      </c>
      <c r="J62" s="8"/>
      <c r="K62" s="27"/>
      <c r="L62" s="9">
        <f t="shared" si="4"/>
        <v>42819.99454</v>
      </c>
      <c r="M62" s="27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20">
        <v>219390.0</v>
      </c>
      <c r="B63" s="19">
        <v>42066.0</v>
      </c>
      <c r="C63" s="20">
        <v>9.0</v>
      </c>
      <c r="D63" s="26">
        <v>62.0</v>
      </c>
      <c r="E63" s="34">
        <f t="shared" si="10"/>
        <v>7077.096774</v>
      </c>
      <c r="F63" s="34">
        <f t="shared" si="8"/>
        <v>0.4285714286</v>
      </c>
      <c r="G63" s="35">
        <f t="shared" si="9"/>
        <v>7200.483871</v>
      </c>
      <c r="H63" s="8"/>
      <c r="I63" s="9">
        <f t="shared" si="2"/>
        <v>9</v>
      </c>
      <c r="J63" s="8"/>
      <c r="K63" s="27"/>
      <c r="L63" s="9">
        <f t="shared" si="4"/>
        <v>42819.99454</v>
      </c>
      <c r="M63" s="27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28"/>
      <c r="B64" s="19">
        <v>42067.0</v>
      </c>
      <c r="C64" s="20">
        <v>9.0</v>
      </c>
      <c r="D64" s="26">
        <v>63.0</v>
      </c>
      <c r="E64" s="34">
        <f t="shared" si="10"/>
        <v>7077.096774</v>
      </c>
      <c r="F64" s="34">
        <f t="shared" si="8"/>
        <v>0.3928571429</v>
      </c>
      <c r="G64" s="35">
        <f t="shared" si="9"/>
        <v>7190.201613</v>
      </c>
      <c r="H64" s="8"/>
      <c r="I64" s="9">
        <f t="shared" si="2"/>
        <v>9</v>
      </c>
      <c r="J64" s="8"/>
      <c r="K64" s="27"/>
      <c r="L64" s="9">
        <f t="shared" si="4"/>
        <v>42819.99454</v>
      </c>
      <c r="M64" s="27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28"/>
      <c r="B65" s="19">
        <v>42068.0</v>
      </c>
      <c r="C65" s="20">
        <v>10.0</v>
      </c>
      <c r="D65" s="26">
        <v>64.0</v>
      </c>
      <c r="E65" s="34">
        <f t="shared" si="10"/>
        <v>7077.096774</v>
      </c>
      <c r="F65" s="34">
        <f t="shared" si="8"/>
        <v>0.3571428571</v>
      </c>
      <c r="G65" s="35">
        <f t="shared" si="9"/>
        <v>7179.919355</v>
      </c>
      <c r="H65" s="8"/>
      <c r="I65" s="9">
        <f t="shared" si="2"/>
        <v>10</v>
      </c>
      <c r="J65" s="22">
        <f>SUM(G65:G71)</f>
        <v>50043.50806</v>
      </c>
      <c r="K65" s="24">
        <v>50043.50806</v>
      </c>
      <c r="L65" s="9">
        <f t="shared" si="4"/>
        <v>42819.99454</v>
      </c>
      <c r="M65" s="24">
        <v>42819.99454</v>
      </c>
      <c r="N65" s="25">
        <v>13148.34094</v>
      </c>
      <c r="O65" s="25">
        <v>11313.67655</v>
      </c>
      <c r="P65" s="25">
        <v>2970.174586</v>
      </c>
      <c r="Q65" s="25">
        <v>22515.45934</v>
      </c>
      <c r="R65" s="18"/>
      <c r="S65" s="25">
        <v>11469.81054</v>
      </c>
      <c r="T65" s="25">
        <v>10485.90573</v>
      </c>
      <c r="U65" s="25">
        <v>2593.829153</v>
      </c>
      <c r="V65" s="25">
        <v>19204.23678</v>
      </c>
      <c r="W65" s="25">
        <v>1678.530403</v>
      </c>
      <c r="X65" s="25">
        <v>827.7708202</v>
      </c>
      <c r="Y65" s="25">
        <v>376.3454322</v>
      </c>
      <c r="Z65" s="25">
        <v>3311.222561</v>
      </c>
    </row>
    <row r="66">
      <c r="A66" s="28"/>
      <c r="B66" s="19">
        <v>42069.0</v>
      </c>
      <c r="C66" s="20">
        <v>10.0</v>
      </c>
      <c r="D66" s="26">
        <v>65.0</v>
      </c>
      <c r="E66" s="34">
        <f t="shared" si="10"/>
        <v>7077.096774</v>
      </c>
      <c r="F66" s="34">
        <f t="shared" si="8"/>
        <v>0.3214285714</v>
      </c>
      <c r="G66" s="35">
        <f t="shared" si="9"/>
        <v>7169.637097</v>
      </c>
      <c r="H66" s="8"/>
      <c r="I66" s="9">
        <f t="shared" si="2"/>
        <v>10</v>
      </c>
      <c r="J66" s="8"/>
      <c r="K66" s="27"/>
      <c r="L66" s="9">
        <f t="shared" si="4"/>
        <v>42819.99454</v>
      </c>
      <c r="M66" s="27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28"/>
      <c r="B67" s="19">
        <v>42070.0</v>
      </c>
      <c r="C67" s="20">
        <v>10.0</v>
      </c>
      <c r="D67" s="26">
        <v>66.0</v>
      </c>
      <c r="E67" s="34">
        <f t="shared" si="10"/>
        <v>7077.096774</v>
      </c>
      <c r="F67" s="34">
        <f t="shared" si="8"/>
        <v>0.2857142857</v>
      </c>
      <c r="G67" s="35">
        <f t="shared" si="9"/>
        <v>7159.354839</v>
      </c>
      <c r="H67" s="8"/>
      <c r="I67" s="9">
        <f t="shared" si="2"/>
        <v>10</v>
      </c>
      <c r="J67" s="8"/>
      <c r="K67" s="27"/>
      <c r="L67" s="9">
        <f t="shared" si="4"/>
        <v>42819.99454</v>
      </c>
      <c r="M67" s="27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28"/>
      <c r="B68" s="19">
        <v>42071.0</v>
      </c>
      <c r="C68" s="20">
        <v>10.0</v>
      </c>
      <c r="D68" s="26">
        <v>67.0</v>
      </c>
      <c r="E68" s="34">
        <f t="shared" si="10"/>
        <v>7077.096774</v>
      </c>
      <c r="F68" s="34">
        <f t="shared" si="8"/>
        <v>0.25</v>
      </c>
      <c r="G68" s="35">
        <f t="shared" si="9"/>
        <v>7149.072581</v>
      </c>
      <c r="H68" s="8"/>
      <c r="I68" s="9">
        <f t="shared" si="2"/>
        <v>10</v>
      </c>
      <c r="J68" s="8"/>
      <c r="K68" s="27"/>
      <c r="L68" s="9">
        <f t="shared" si="4"/>
        <v>42819.99454</v>
      </c>
      <c r="M68" s="27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28"/>
      <c r="B69" s="19">
        <v>42072.0</v>
      </c>
      <c r="C69" s="20">
        <v>10.0</v>
      </c>
      <c r="D69" s="26">
        <v>68.0</v>
      </c>
      <c r="E69" s="34">
        <f t="shared" si="10"/>
        <v>7077.096774</v>
      </c>
      <c r="F69" s="34">
        <f t="shared" si="8"/>
        <v>0.2142857143</v>
      </c>
      <c r="G69" s="35">
        <f t="shared" si="9"/>
        <v>7138.790323</v>
      </c>
      <c r="H69" s="8"/>
      <c r="I69" s="9">
        <f t="shared" si="2"/>
        <v>10</v>
      </c>
      <c r="J69" s="8"/>
      <c r="K69" s="27"/>
      <c r="L69" s="9">
        <f t="shared" si="4"/>
        <v>42819.99454</v>
      </c>
      <c r="M69" s="27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28"/>
      <c r="B70" s="19">
        <v>42073.0</v>
      </c>
      <c r="C70" s="20">
        <v>10.0</v>
      </c>
      <c r="D70" s="26">
        <v>69.0</v>
      </c>
      <c r="E70" s="34">
        <f t="shared" si="10"/>
        <v>7077.096774</v>
      </c>
      <c r="F70" s="34">
        <f t="shared" si="8"/>
        <v>0.1785714286</v>
      </c>
      <c r="G70" s="35">
        <f t="shared" si="9"/>
        <v>7128.508065</v>
      </c>
      <c r="H70" s="8"/>
      <c r="I70" s="9">
        <f t="shared" si="2"/>
        <v>10</v>
      </c>
      <c r="J70" s="8"/>
      <c r="K70" s="27"/>
      <c r="L70" s="9">
        <f t="shared" si="4"/>
        <v>42819.99454</v>
      </c>
      <c r="M70" s="27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28"/>
      <c r="B71" s="19">
        <v>42074.0</v>
      </c>
      <c r="C71" s="20">
        <v>10.0</v>
      </c>
      <c r="D71" s="26">
        <v>70.0</v>
      </c>
      <c r="E71" s="34">
        <f t="shared" si="10"/>
        <v>7077.096774</v>
      </c>
      <c r="F71" s="34">
        <f t="shared" si="8"/>
        <v>0.1428571429</v>
      </c>
      <c r="G71" s="35">
        <f t="shared" si="9"/>
        <v>7118.225806</v>
      </c>
      <c r="H71" s="8"/>
      <c r="I71" s="9">
        <f t="shared" si="2"/>
        <v>10</v>
      </c>
      <c r="J71" s="8"/>
      <c r="K71" s="27"/>
      <c r="L71" s="9">
        <f t="shared" si="4"/>
        <v>42819.99454</v>
      </c>
      <c r="M71" s="27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28"/>
      <c r="B72" s="19">
        <v>42075.0</v>
      </c>
      <c r="C72" s="20">
        <v>11.0</v>
      </c>
      <c r="D72" s="26">
        <v>71.0</v>
      </c>
      <c r="E72" s="34">
        <f t="shared" si="10"/>
        <v>7077.096774</v>
      </c>
      <c r="F72" s="34">
        <f t="shared" si="8"/>
        <v>0.1071428571</v>
      </c>
      <c r="G72" s="35">
        <f t="shared" si="9"/>
        <v>7107.943548</v>
      </c>
      <c r="H72" s="8"/>
      <c r="I72" s="9">
        <f t="shared" si="2"/>
        <v>11</v>
      </c>
      <c r="J72" s="22">
        <f>SUM(G72:G78)</f>
        <v>49518.30708</v>
      </c>
      <c r="K72" s="24">
        <v>49518.30708</v>
      </c>
      <c r="L72" s="9">
        <f t="shared" si="4"/>
        <v>42819.99454</v>
      </c>
      <c r="M72" s="24">
        <v>42819.99454</v>
      </c>
      <c r="N72" s="25">
        <v>13607.28815</v>
      </c>
      <c r="O72" s="25">
        <v>11363.73762</v>
      </c>
      <c r="P72" s="25">
        <v>3016.730714</v>
      </c>
      <c r="Q72" s="25">
        <v>22150.15271</v>
      </c>
      <c r="R72" s="18"/>
      <c r="S72" s="25">
        <v>11621.97529</v>
      </c>
      <c r="T72" s="25">
        <v>9904.472627</v>
      </c>
      <c r="U72" s="25">
        <v>2714.808192</v>
      </c>
      <c r="V72" s="25">
        <v>19050.23189</v>
      </c>
      <c r="W72" s="25">
        <v>1985.312858</v>
      </c>
      <c r="X72" s="25">
        <v>1459.26499</v>
      </c>
      <c r="Y72" s="25">
        <v>301.9225218</v>
      </c>
      <c r="Z72" s="25">
        <v>3099.920817</v>
      </c>
    </row>
    <row r="73">
      <c r="A73" s="28"/>
      <c r="B73" s="19">
        <v>42076.0</v>
      </c>
      <c r="C73" s="20">
        <v>11.0</v>
      </c>
      <c r="D73" s="26">
        <v>72.0</v>
      </c>
      <c r="E73" s="34">
        <f t="shared" si="10"/>
        <v>7077.096774</v>
      </c>
      <c r="F73" s="34">
        <f t="shared" si="8"/>
        <v>0.07142857143</v>
      </c>
      <c r="G73" s="35">
        <f t="shared" si="9"/>
        <v>7097.66129</v>
      </c>
      <c r="H73" s="8"/>
      <c r="I73" s="9">
        <f t="shared" si="2"/>
        <v>11</v>
      </c>
      <c r="J73" s="8"/>
      <c r="K73" s="27"/>
      <c r="L73" s="9">
        <f t="shared" si="4"/>
        <v>42819.99454</v>
      </c>
      <c r="M73" s="27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28"/>
      <c r="B74" s="19">
        <v>42077.0</v>
      </c>
      <c r="C74" s="20">
        <v>11.0</v>
      </c>
      <c r="D74" s="26">
        <v>73.0</v>
      </c>
      <c r="E74" s="34">
        <f t="shared" si="10"/>
        <v>7077.096774</v>
      </c>
      <c r="F74" s="34">
        <f t="shared" si="8"/>
        <v>0.03571428571</v>
      </c>
      <c r="G74" s="35">
        <f t="shared" si="9"/>
        <v>7087.379032</v>
      </c>
      <c r="H74" s="8"/>
      <c r="I74" s="9">
        <f t="shared" si="2"/>
        <v>11</v>
      </c>
      <c r="J74" s="8"/>
      <c r="K74" s="27"/>
      <c r="L74" s="9">
        <f t="shared" si="4"/>
        <v>42819.99454</v>
      </c>
      <c r="M74" s="27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28"/>
      <c r="B75" s="19">
        <v>42078.0</v>
      </c>
      <c r="C75" s="20">
        <v>11.0</v>
      </c>
      <c r="D75" s="26">
        <v>74.0</v>
      </c>
      <c r="E75" s="34">
        <f t="shared" si="10"/>
        <v>7077.096774</v>
      </c>
      <c r="F75" s="34">
        <v>0.0</v>
      </c>
      <c r="G75" s="35">
        <f t="shared" si="9"/>
        <v>7077.096774</v>
      </c>
      <c r="H75" s="8"/>
      <c r="I75" s="9">
        <f t="shared" si="2"/>
        <v>11</v>
      </c>
      <c r="J75" s="8"/>
      <c r="K75" s="27"/>
      <c r="L75" s="9">
        <f t="shared" si="4"/>
        <v>42819.99454</v>
      </c>
      <c r="M75" s="27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28"/>
      <c r="B76" s="19">
        <v>42079.0</v>
      </c>
      <c r="C76" s="20">
        <v>11.0</v>
      </c>
      <c r="D76" s="26">
        <v>75.0</v>
      </c>
      <c r="E76" s="34">
        <f t="shared" si="10"/>
        <v>7077.096774</v>
      </c>
      <c r="F76" s="34">
        <f t="shared" ref="F76:F105" si="11">abs((D76-105)/(105-74))</f>
        <v>0.9677419355</v>
      </c>
      <c r="G76" s="35">
        <f t="shared" ref="G76:G105" si="12">E61*F76+(1-F76)*E92</f>
        <v>7063.252792</v>
      </c>
      <c r="H76" s="8"/>
      <c r="I76" s="9">
        <f t="shared" si="2"/>
        <v>11</v>
      </c>
      <c r="J76" s="8"/>
      <c r="K76" s="27"/>
      <c r="L76" s="9">
        <f t="shared" si="4"/>
        <v>42819.99454</v>
      </c>
      <c r="M76" s="27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3"/>
      <c r="B77" s="19">
        <v>42080.0</v>
      </c>
      <c r="C77" s="20">
        <v>11.0</v>
      </c>
      <c r="D77" s="26">
        <v>76.0</v>
      </c>
      <c r="E77" s="34">
        <f t="shared" si="10"/>
        <v>7077.096774</v>
      </c>
      <c r="F77" s="34">
        <f t="shared" si="11"/>
        <v>0.935483871</v>
      </c>
      <c r="G77" s="35">
        <f t="shared" si="12"/>
        <v>7049.40881</v>
      </c>
      <c r="H77" s="8"/>
      <c r="I77" s="9">
        <f t="shared" si="2"/>
        <v>11</v>
      </c>
      <c r="J77" s="8"/>
      <c r="K77" s="27"/>
      <c r="L77" s="9">
        <f t="shared" si="4"/>
        <v>42819.99454</v>
      </c>
      <c r="M77" s="27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3"/>
      <c r="B78" s="19">
        <v>42081.0</v>
      </c>
      <c r="C78" s="20">
        <v>11.0</v>
      </c>
      <c r="D78" s="26">
        <v>77.0</v>
      </c>
      <c r="E78" s="34">
        <f t="shared" si="10"/>
        <v>7077.096774</v>
      </c>
      <c r="F78" s="34">
        <f t="shared" si="11"/>
        <v>0.9032258065</v>
      </c>
      <c r="G78" s="35">
        <f t="shared" si="12"/>
        <v>7035.564828</v>
      </c>
      <c r="H78" s="8"/>
      <c r="I78" s="9">
        <f t="shared" si="2"/>
        <v>11</v>
      </c>
      <c r="J78" s="8"/>
      <c r="K78" s="27"/>
      <c r="L78" s="9">
        <f t="shared" si="4"/>
        <v>42819.99454</v>
      </c>
      <c r="M78" s="27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28"/>
      <c r="B79" s="19">
        <v>42082.0</v>
      </c>
      <c r="C79" s="20">
        <v>12.0</v>
      </c>
      <c r="D79" s="26">
        <v>78.0</v>
      </c>
      <c r="E79" s="34">
        <f t="shared" si="10"/>
        <v>7077.096774</v>
      </c>
      <c r="F79" s="34">
        <f t="shared" si="11"/>
        <v>0.8709677419</v>
      </c>
      <c r="G79" s="35">
        <f t="shared" si="12"/>
        <v>7021.720846</v>
      </c>
      <c r="H79" s="8"/>
      <c r="I79" s="9">
        <f t="shared" si="2"/>
        <v>12</v>
      </c>
      <c r="J79" s="22">
        <f>SUM(G79:G85)</f>
        <v>48861.3223</v>
      </c>
      <c r="K79" s="24">
        <v>48861.3223</v>
      </c>
      <c r="L79" s="9">
        <f t="shared" si="4"/>
        <v>42819.99454</v>
      </c>
      <c r="M79" s="24">
        <v>42819.99454</v>
      </c>
      <c r="N79" s="25">
        <v>13276.26481</v>
      </c>
      <c r="O79" s="25">
        <v>11286.81216</v>
      </c>
      <c r="P79" s="25">
        <v>3092.750148</v>
      </c>
      <c r="Q79" s="25">
        <v>20778.82145</v>
      </c>
      <c r="R79" s="18"/>
      <c r="S79" s="25">
        <v>11573.23515</v>
      </c>
      <c r="T79" s="25">
        <v>10034.2688</v>
      </c>
      <c r="U79" s="25">
        <v>2600.628651</v>
      </c>
      <c r="V79" s="25">
        <v>18731.13298</v>
      </c>
      <c r="W79" s="25">
        <v>1703.029661</v>
      </c>
      <c r="X79" s="25">
        <v>1252.543362</v>
      </c>
      <c r="Y79" s="25">
        <v>492.1214966</v>
      </c>
      <c r="Z79" s="25">
        <v>2047.688473</v>
      </c>
    </row>
    <row r="80">
      <c r="A80" s="28"/>
      <c r="B80" s="19">
        <v>42083.0</v>
      </c>
      <c r="C80" s="20">
        <v>12.0</v>
      </c>
      <c r="D80" s="26">
        <v>79.0</v>
      </c>
      <c r="E80" s="34">
        <f t="shared" si="10"/>
        <v>7077.096774</v>
      </c>
      <c r="F80" s="34">
        <f t="shared" si="11"/>
        <v>0.8387096774</v>
      </c>
      <c r="G80" s="35">
        <f t="shared" si="12"/>
        <v>7007.876864</v>
      </c>
      <c r="H80" s="8"/>
      <c r="I80" s="9">
        <f t="shared" si="2"/>
        <v>12</v>
      </c>
      <c r="J80" s="8"/>
      <c r="K80" s="27"/>
      <c r="L80" s="9">
        <f t="shared" si="4"/>
        <v>42819.99454</v>
      </c>
      <c r="M80" s="27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28"/>
      <c r="B81" s="19">
        <v>42084.0</v>
      </c>
      <c r="C81" s="20">
        <v>12.0</v>
      </c>
      <c r="D81" s="26">
        <v>80.0</v>
      </c>
      <c r="E81" s="34">
        <f t="shared" si="10"/>
        <v>7077.096774</v>
      </c>
      <c r="F81" s="34">
        <f t="shared" si="11"/>
        <v>0.8064516129</v>
      </c>
      <c r="G81" s="35">
        <f t="shared" si="12"/>
        <v>6994.032882</v>
      </c>
      <c r="H81" s="8"/>
      <c r="I81" s="9">
        <f t="shared" si="2"/>
        <v>12</v>
      </c>
      <c r="J81" s="8"/>
      <c r="K81" s="27"/>
      <c r="L81" s="9">
        <f t="shared" si="4"/>
        <v>42819.99454</v>
      </c>
      <c r="M81" s="27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28"/>
      <c r="B82" s="19">
        <v>42085.0</v>
      </c>
      <c r="C82" s="20">
        <v>12.0</v>
      </c>
      <c r="D82" s="26">
        <v>81.0</v>
      </c>
      <c r="E82" s="34">
        <f t="shared" si="10"/>
        <v>7077.096774</v>
      </c>
      <c r="F82" s="34">
        <f t="shared" si="11"/>
        <v>0.7741935484</v>
      </c>
      <c r="G82" s="35">
        <f t="shared" si="12"/>
        <v>6980.1889</v>
      </c>
      <c r="H82" s="8"/>
      <c r="I82" s="9">
        <f t="shared" si="2"/>
        <v>12</v>
      </c>
      <c r="J82" s="8"/>
      <c r="K82" s="27"/>
      <c r="L82" s="9">
        <f t="shared" si="4"/>
        <v>42819.99454</v>
      </c>
      <c r="M82" s="27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28"/>
      <c r="B83" s="19">
        <v>42086.0</v>
      </c>
      <c r="C83" s="20">
        <v>12.0</v>
      </c>
      <c r="D83" s="26">
        <v>82.0</v>
      </c>
      <c r="E83" s="34">
        <f t="shared" si="10"/>
        <v>7077.096774</v>
      </c>
      <c r="F83" s="34">
        <f t="shared" si="11"/>
        <v>0.7419354839</v>
      </c>
      <c r="G83" s="35">
        <f t="shared" si="12"/>
        <v>6966.344918</v>
      </c>
      <c r="H83" s="8"/>
      <c r="I83" s="9">
        <f t="shared" si="2"/>
        <v>12</v>
      </c>
      <c r="J83" s="8"/>
      <c r="K83" s="27"/>
      <c r="L83" s="9">
        <f t="shared" si="4"/>
        <v>42819.99454</v>
      </c>
      <c r="M83" s="27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28"/>
      <c r="B84" s="19">
        <v>42087.0</v>
      </c>
      <c r="C84" s="20">
        <v>12.0</v>
      </c>
      <c r="D84" s="26">
        <v>83.0</v>
      </c>
      <c r="E84" s="34">
        <f t="shared" si="10"/>
        <v>7077.096774</v>
      </c>
      <c r="F84" s="34">
        <f t="shared" si="11"/>
        <v>0.7096774194</v>
      </c>
      <c r="G84" s="35">
        <f t="shared" si="12"/>
        <v>6952.500937</v>
      </c>
      <c r="H84" s="8"/>
      <c r="I84" s="9">
        <f t="shared" si="2"/>
        <v>12</v>
      </c>
      <c r="J84" s="8"/>
      <c r="K84" s="27"/>
      <c r="L84" s="9">
        <f t="shared" si="4"/>
        <v>42819.99454</v>
      </c>
      <c r="M84" s="27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28"/>
      <c r="B85" s="19">
        <v>42088.0</v>
      </c>
      <c r="C85" s="20">
        <v>12.0</v>
      </c>
      <c r="D85" s="26">
        <v>84.0</v>
      </c>
      <c r="E85" s="34">
        <f t="shared" si="10"/>
        <v>7077.096774</v>
      </c>
      <c r="F85" s="34">
        <f t="shared" si="11"/>
        <v>0.6774193548</v>
      </c>
      <c r="G85" s="35">
        <f t="shared" si="12"/>
        <v>6938.656955</v>
      </c>
      <c r="H85" s="8"/>
      <c r="I85" s="9">
        <f t="shared" si="2"/>
        <v>12</v>
      </c>
      <c r="J85" s="8"/>
      <c r="K85" s="27"/>
      <c r="L85" s="9">
        <f t="shared" si="4"/>
        <v>42819.99454</v>
      </c>
      <c r="M85" s="27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28"/>
      <c r="B86" s="19">
        <v>42089.0</v>
      </c>
      <c r="C86" s="20">
        <v>13.0</v>
      </c>
      <c r="D86" s="26">
        <v>85.0</v>
      </c>
      <c r="E86" s="34">
        <f t="shared" si="10"/>
        <v>7077.096774</v>
      </c>
      <c r="F86" s="34">
        <f t="shared" si="11"/>
        <v>0.6451612903</v>
      </c>
      <c r="G86" s="35">
        <f t="shared" si="12"/>
        <v>6924.812973</v>
      </c>
      <c r="H86" s="8"/>
      <c r="I86" s="9">
        <f t="shared" si="2"/>
        <v>13</v>
      </c>
      <c r="J86" s="22">
        <f>SUM(G86:G92)</f>
        <v>48182.96719</v>
      </c>
      <c r="K86" s="24">
        <v>48182.96719</v>
      </c>
      <c r="L86" s="9">
        <f t="shared" si="4"/>
        <v>42819.99454</v>
      </c>
      <c r="M86" s="24">
        <v>42819.99454</v>
      </c>
      <c r="N86" s="25">
        <v>13345.13238</v>
      </c>
      <c r="O86" s="25">
        <v>11146.76608</v>
      </c>
      <c r="P86" s="25">
        <v>2906.767245</v>
      </c>
      <c r="Q86" s="25">
        <v>21834.25921</v>
      </c>
      <c r="R86" s="18"/>
      <c r="S86" s="25">
        <v>10885.7627</v>
      </c>
      <c r="T86" s="25">
        <v>9797.635864</v>
      </c>
      <c r="U86" s="25">
        <v>2642.615347</v>
      </c>
      <c r="V86" s="25">
        <v>18459.25301</v>
      </c>
      <c r="W86" s="25">
        <v>2459.369675</v>
      </c>
      <c r="X86" s="25">
        <v>1349.13022</v>
      </c>
      <c r="Y86" s="25">
        <v>264.1518979</v>
      </c>
      <c r="Z86" s="25">
        <v>3375.006197</v>
      </c>
    </row>
    <row r="87">
      <c r="A87" s="28"/>
      <c r="B87" s="19">
        <v>42090.0</v>
      </c>
      <c r="C87" s="20">
        <v>13.0</v>
      </c>
      <c r="D87" s="26">
        <v>86.0</v>
      </c>
      <c r="E87" s="34">
        <f t="shared" si="10"/>
        <v>7077.096774</v>
      </c>
      <c r="F87" s="34">
        <f t="shared" si="11"/>
        <v>0.6129032258</v>
      </c>
      <c r="G87" s="35">
        <f t="shared" si="12"/>
        <v>6910.968991</v>
      </c>
      <c r="H87" s="8"/>
      <c r="I87" s="9">
        <f t="shared" si="2"/>
        <v>13</v>
      </c>
      <c r="J87" s="8"/>
      <c r="K87" s="27"/>
      <c r="L87" s="9">
        <f t="shared" si="4"/>
        <v>42819.99454</v>
      </c>
      <c r="M87" s="27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28"/>
      <c r="B88" s="19">
        <v>42091.0</v>
      </c>
      <c r="C88" s="20">
        <v>13.0</v>
      </c>
      <c r="D88" s="26">
        <v>87.0</v>
      </c>
      <c r="E88" s="34">
        <f t="shared" si="10"/>
        <v>7077.096774</v>
      </c>
      <c r="F88" s="34">
        <f t="shared" si="11"/>
        <v>0.5806451613</v>
      </c>
      <c r="G88" s="35">
        <f t="shared" si="12"/>
        <v>6897.125009</v>
      </c>
      <c r="H88" s="8"/>
      <c r="I88" s="9">
        <f t="shared" si="2"/>
        <v>13</v>
      </c>
      <c r="J88" s="8"/>
      <c r="K88" s="27"/>
      <c r="L88" s="9">
        <f t="shared" si="4"/>
        <v>42819.99454</v>
      </c>
      <c r="M88" s="27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28"/>
      <c r="B89" s="19">
        <v>42092.0</v>
      </c>
      <c r="C89" s="20">
        <v>13.0</v>
      </c>
      <c r="D89" s="26">
        <v>88.0</v>
      </c>
      <c r="E89" s="34">
        <f t="shared" si="10"/>
        <v>7077.096774</v>
      </c>
      <c r="F89" s="34">
        <f t="shared" si="11"/>
        <v>0.5483870968</v>
      </c>
      <c r="G89" s="35">
        <f t="shared" si="12"/>
        <v>6883.281027</v>
      </c>
      <c r="H89" s="8"/>
      <c r="I89" s="9">
        <f t="shared" si="2"/>
        <v>13</v>
      </c>
      <c r="J89" s="8"/>
      <c r="K89" s="27"/>
      <c r="L89" s="9">
        <f t="shared" si="4"/>
        <v>42819.99454</v>
      </c>
      <c r="M89" s="27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28"/>
      <c r="B90" s="19">
        <v>42093.0</v>
      </c>
      <c r="C90" s="20">
        <v>13.0</v>
      </c>
      <c r="D90" s="26">
        <v>89.0</v>
      </c>
      <c r="E90" s="34">
        <f t="shared" si="10"/>
        <v>7077.096774</v>
      </c>
      <c r="F90" s="34">
        <f t="shared" si="11"/>
        <v>0.5161290323</v>
      </c>
      <c r="G90" s="35">
        <f t="shared" si="12"/>
        <v>6869.437045</v>
      </c>
      <c r="H90" s="8"/>
      <c r="I90" s="9">
        <f t="shared" si="2"/>
        <v>13</v>
      </c>
      <c r="J90" s="8"/>
      <c r="K90" s="27"/>
      <c r="L90" s="9">
        <f t="shared" si="4"/>
        <v>42819.99454</v>
      </c>
      <c r="M90" s="27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28"/>
      <c r="B91" s="19">
        <v>42094.0</v>
      </c>
      <c r="C91" s="20">
        <v>13.0</v>
      </c>
      <c r="D91" s="26">
        <v>90.0</v>
      </c>
      <c r="E91" s="34">
        <f t="shared" si="10"/>
        <v>7077.096774</v>
      </c>
      <c r="F91" s="34">
        <f t="shared" si="11"/>
        <v>0.4838709677</v>
      </c>
      <c r="G91" s="35">
        <f t="shared" si="12"/>
        <v>6855.593063</v>
      </c>
      <c r="H91" s="8"/>
      <c r="I91" s="9">
        <f t="shared" si="2"/>
        <v>13</v>
      </c>
      <c r="J91" s="8"/>
      <c r="K91" s="27"/>
      <c r="L91" s="9">
        <f t="shared" si="4"/>
        <v>42819.99454</v>
      </c>
      <c r="M91" s="27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28"/>
      <c r="B92" s="19">
        <v>42095.0</v>
      </c>
      <c r="C92" s="20">
        <v>13.0</v>
      </c>
      <c r="D92" s="26">
        <v>91.0</v>
      </c>
      <c r="E92" s="34">
        <f>A94/30</f>
        <v>6647.933333</v>
      </c>
      <c r="F92" s="34">
        <f t="shared" si="11"/>
        <v>0.4516129032</v>
      </c>
      <c r="G92" s="35">
        <f t="shared" si="12"/>
        <v>6841.749081</v>
      </c>
      <c r="H92" s="8"/>
      <c r="I92" s="9">
        <f t="shared" si="2"/>
        <v>13</v>
      </c>
      <c r="J92" s="8"/>
      <c r="K92" s="27"/>
      <c r="L92" s="9">
        <f t="shared" si="4"/>
        <v>42819.99454</v>
      </c>
      <c r="M92" s="27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3" t="s">
        <v>67</v>
      </c>
      <c r="B93" s="19">
        <v>42096.0</v>
      </c>
      <c r="C93" s="20">
        <v>14.0</v>
      </c>
      <c r="D93" s="26">
        <v>92.0</v>
      </c>
      <c r="E93" s="34">
        <f>A94/30</f>
        <v>6647.933333</v>
      </c>
      <c r="F93" s="34">
        <f t="shared" si="11"/>
        <v>0.4193548387</v>
      </c>
      <c r="G93" s="35">
        <f t="shared" si="12"/>
        <v>6827.905099</v>
      </c>
      <c r="H93" s="8"/>
      <c r="I93" s="9">
        <f t="shared" si="2"/>
        <v>14</v>
      </c>
      <c r="J93" s="22">
        <f>SUM(G93:G99)</f>
        <v>47504.61207</v>
      </c>
      <c r="K93" s="24">
        <v>47504.61207</v>
      </c>
      <c r="L93" s="9">
        <f t="shared" si="4"/>
        <v>42819.99454</v>
      </c>
      <c r="M93" s="24">
        <v>42819.99454</v>
      </c>
      <c r="N93" s="25">
        <v>12883.48261</v>
      </c>
      <c r="O93" s="25">
        <v>11473.50756</v>
      </c>
      <c r="P93" s="25">
        <v>2854.087018</v>
      </c>
      <c r="Q93" s="25">
        <v>20379.80159</v>
      </c>
      <c r="R93" s="18"/>
      <c r="S93" s="25">
        <v>11658.44506</v>
      </c>
      <c r="T93" s="25">
        <v>10461.75126</v>
      </c>
      <c r="U93" s="25">
        <v>2697.309684</v>
      </c>
      <c r="V93" s="25">
        <v>18890.48876</v>
      </c>
      <c r="W93" s="25">
        <v>1225.037541</v>
      </c>
      <c r="X93" s="25">
        <v>1011.756294</v>
      </c>
      <c r="Y93" s="25">
        <v>156.7773344</v>
      </c>
      <c r="Z93" s="25">
        <v>1489.312828</v>
      </c>
    </row>
    <row r="94">
      <c r="A94" s="20">
        <v>199438.0</v>
      </c>
      <c r="B94" s="19">
        <v>42097.0</v>
      </c>
      <c r="C94" s="20">
        <v>14.0</v>
      </c>
      <c r="D94" s="26">
        <v>93.0</v>
      </c>
      <c r="E94" s="34">
        <f t="shared" ref="E94:E121" si="13">E93</f>
        <v>6647.933333</v>
      </c>
      <c r="F94" s="34">
        <f t="shared" si="11"/>
        <v>0.3870967742</v>
      </c>
      <c r="G94" s="35">
        <f t="shared" si="12"/>
        <v>6814.061117</v>
      </c>
      <c r="H94" s="8"/>
      <c r="I94" s="9">
        <f t="shared" si="2"/>
        <v>14</v>
      </c>
      <c r="J94" s="8"/>
      <c r="K94" s="27"/>
      <c r="L94" s="9">
        <f t="shared" si="4"/>
        <v>42819.99454</v>
      </c>
      <c r="M94" s="27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28"/>
      <c r="B95" s="19">
        <v>42098.0</v>
      </c>
      <c r="C95" s="20">
        <v>14.0</v>
      </c>
      <c r="D95" s="26">
        <v>94.0</v>
      </c>
      <c r="E95" s="34">
        <f t="shared" si="13"/>
        <v>6647.933333</v>
      </c>
      <c r="F95" s="34">
        <f t="shared" si="11"/>
        <v>0.3548387097</v>
      </c>
      <c r="G95" s="35">
        <f t="shared" si="12"/>
        <v>6800.217135</v>
      </c>
      <c r="H95" s="8"/>
      <c r="I95" s="9">
        <f t="shared" si="2"/>
        <v>14</v>
      </c>
      <c r="J95" s="8"/>
      <c r="K95" s="27"/>
      <c r="L95" s="9">
        <f t="shared" si="4"/>
        <v>42819.99454</v>
      </c>
      <c r="M95" s="27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28"/>
      <c r="B96" s="19">
        <v>42099.0</v>
      </c>
      <c r="C96" s="20">
        <v>14.0</v>
      </c>
      <c r="D96" s="26">
        <v>95.0</v>
      </c>
      <c r="E96" s="34">
        <f t="shared" si="13"/>
        <v>6647.933333</v>
      </c>
      <c r="F96" s="34">
        <f t="shared" si="11"/>
        <v>0.3225806452</v>
      </c>
      <c r="G96" s="35">
        <f t="shared" si="12"/>
        <v>6786.373153</v>
      </c>
      <c r="H96" s="8"/>
      <c r="I96" s="9">
        <f t="shared" si="2"/>
        <v>14</v>
      </c>
      <c r="J96" s="8"/>
      <c r="K96" s="27"/>
      <c r="L96" s="9">
        <f t="shared" si="4"/>
        <v>42819.99454</v>
      </c>
      <c r="M96" s="27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28"/>
      <c r="B97" s="19">
        <v>42100.0</v>
      </c>
      <c r="C97" s="20">
        <v>14.0</v>
      </c>
      <c r="D97" s="26">
        <v>96.0</v>
      </c>
      <c r="E97" s="34">
        <f t="shared" si="13"/>
        <v>6647.933333</v>
      </c>
      <c r="F97" s="34">
        <f t="shared" si="11"/>
        <v>0.2903225806</v>
      </c>
      <c r="G97" s="35">
        <f t="shared" si="12"/>
        <v>6772.529171</v>
      </c>
      <c r="H97" s="8"/>
      <c r="I97" s="9">
        <f t="shared" si="2"/>
        <v>14</v>
      </c>
      <c r="J97" s="8"/>
      <c r="K97" s="27"/>
      <c r="L97" s="9">
        <f t="shared" si="4"/>
        <v>42819.99454</v>
      </c>
      <c r="M97" s="27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28"/>
      <c r="B98" s="19">
        <v>42101.0</v>
      </c>
      <c r="C98" s="20">
        <v>14.0</v>
      </c>
      <c r="D98" s="26">
        <v>97.0</v>
      </c>
      <c r="E98" s="34">
        <f t="shared" si="13"/>
        <v>6647.933333</v>
      </c>
      <c r="F98" s="34">
        <f t="shared" si="11"/>
        <v>0.2580645161</v>
      </c>
      <c r="G98" s="35">
        <f t="shared" si="12"/>
        <v>6758.685189</v>
      </c>
      <c r="H98" s="8"/>
      <c r="I98" s="9">
        <f t="shared" si="2"/>
        <v>14</v>
      </c>
      <c r="J98" s="8"/>
      <c r="K98" s="27"/>
      <c r="L98" s="9">
        <f t="shared" si="4"/>
        <v>42819.99454</v>
      </c>
      <c r="M98" s="27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28"/>
      <c r="B99" s="19">
        <v>42102.0</v>
      </c>
      <c r="C99" s="20">
        <v>14.0</v>
      </c>
      <c r="D99" s="26">
        <v>98.0</v>
      </c>
      <c r="E99" s="34">
        <f t="shared" si="13"/>
        <v>6647.933333</v>
      </c>
      <c r="F99" s="34">
        <f t="shared" si="11"/>
        <v>0.2258064516</v>
      </c>
      <c r="G99" s="35">
        <f t="shared" si="12"/>
        <v>6744.841207</v>
      </c>
      <c r="H99" s="8"/>
      <c r="I99" s="9">
        <f t="shared" si="2"/>
        <v>14</v>
      </c>
      <c r="J99" s="8"/>
      <c r="K99" s="27"/>
      <c r="L99" s="9">
        <f t="shared" si="4"/>
        <v>42819.99454</v>
      </c>
      <c r="M99" s="27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28"/>
      <c r="B100" s="19">
        <v>42103.0</v>
      </c>
      <c r="C100" s="20">
        <v>15.0</v>
      </c>
      <c r="D100" s="26">
        <v>99.0</v>
      </c>
      <c r="E100" s="34">
        <f t="shared" si="13"/>
        <v>6647.933333</v>
      </c>
      <c r="F100" s="34">
        <f t="shared" si="11"/>
        <v>0.1935483871</v>
      </c>
      <c r="G100" s="35">
        <f t="shared" si="12"/>
        <v>6730.997225</v>
      </c>
      <c r="H100" s="8"/>
      <c r="I100" s="9">
        <f t="shared" si="2"/>
        <v>15</v>
      </c>
      <c r="J100" s="22">
        <f>SUM(G100:G106)</f>
        <v>46826.25695</v>
      </c>
      <c r="K100" s="24">
        <v>46826.25695</v>
      </c>
      <c r="L100" s="9">
        <f t="shared" si="4"/>
        <v>42819.99454</v>
      </c>
      <c r="M100" s="24">
        <v>42819.99454</v>
      </c>
      <c r="N100" s="25">
        <v>12612.10835</v>
      </c>
      <c r="O100" s="25">
        <v>11151.42192</v>
      </c>
      <c r="P100" s="25">
        <v>2967.755031</v>
      </c>
      <c r="Q100" s="25">
        <v>19740.9803</v>
      </c>
      <c r="R100" s="18"/>
      <c r="S100" s="25">
        <v>11363.28119</v>
      </c>
      <c r="T100" s="25">
        <v>10304.3838</v>
      </c>
      <c r="U100" s="25">
        <v>2509.46321</v>
      </c>
      <c r="V100" s="25">
        <v>17906.34644</v>
      </c>
      <c r="W100" s="25">
        <v>1248.827161</v>
      </c>
      <c r="X100" s="25">
        <v>847.0381137</v>
      </c>
      <c r="Y100" s="25">
        <v>458.2918202</v>
      </c>
      <c r="Z100" s="25">
        <v>1834.633856</v>
      </c>
    </row>
    <row r="101">
      <c r="A101" s="28"/>
      <c r="B101" s="19">
        <v>42104.0</v>
      </c>
      <c r="C101" s="20">
        <v>15.0</v>
      </c>
      <c r="D101" s="26">
        <v>100.0</v>
      </c>
      <c r="E101" s="34">
        <f t="shared" si="13"/>
        <v>6647.933333</v>
      </c>
      <c r="F101" s="34">
        <f t="shared" si="11"/>
        <v>0.1612903226</v>
      </c>
      <c r="G101" s="35">
        <f t="shared" si="12"/>
        <v>6717.153243</v>
      </c>
      <c r="H101" s="8"/>
      <c r="I101" s="9">
        <f t="shared" si="2"/>
        <v>15</v>
      </c>
      <c r="J101" s="8"/>
      <c r="K101" s="27"/>
      <c r="L101" s="9">
        <f t="shared" si="4"/>
        <v>42819.99454</v>
      </c>
      <c r="M101" s="27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28"/>
      <c r="B102" s="19">
        <v>42105.0</v>
      </c>
      <c r="C102" s="20">
        <v>15.0</v>
      </c>
      <c r="D102" s="26">
        <v>101.0</v>
      </c>
      <c r="E102" s="34">
        <f t="shared" si="13"/>
        <v>6647.933333</v>
      </c>
      <c r="F102" s="34">
        <f t="shared" si="11"/>
        <v>0.1290322581</v>
      </c>
      <c r="G102" s="35">
        <f t="shared" si="12"/>
        <v>6703.309261</v>
      </c>
      <c r="H102" s="8"/>
      <c r="I102" s="9">
        <f t="shared" si="2"/>
        <v>15</v>
      </c>
      <c r="J102" s="8"/>
      <c r="K102" s="27"/>
      <c r="L102" s="9">
        <f t="shared" si="4"/>
        <v>42819.99454</v>
      </c>
      <c r="M102" s="27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28"/>
      <c r="B103" s="19">
        <v>42106.0</v>
      </c>
      <c r="C103" s="20">
        <v>15.0</v>
      </c>
      <c r="D103" s="26">
        <v>102.0</v>
      </c>
      <c r="E103" s="34">
        <f t="shared" si="13"/>
        <v>6647.933333</v>
      </c>
      <c r="F103" s="34">
        <f t="shared" si="11"/>
        <v>0.09677419355</v>
      </c>
      <c r="G103" s="35">
        <f t="shared" si="12"/>
        <v>6689.465279</v>
      </c>
      <c r="H103" s="8"/>
      <c r="I103" s="9">
        <f t="shared" si="2"/>
        <v>15</v>
      </c>
      <c r="J103" s="8"/>
      <c r="K103" s="27"/>
      <c r="L103" s="9">
        <f t="shared" si="4"/>
        <v>42819.99454</v>
      </c>
      <c r="M103" s="27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28"/>
      <c r="B104" s="19">
        <v>42107.0</v>
      </c>
      <c r="C104" s="20">
        <v>15.0</v>
      </c>
      <c r="D104" s="26">
        <v>103.0</v>
      </c>
      <c r="E104" s="34">
        <f t="shared" si="13"/>
        <v>6647.933333</v>
      </c>
      <c r="F104" s="34">
        <f t="shared" si="11"/>
        <v>0.06451612903</v>
      </c>
      <c r="G104" s="35">
        <f t="shared" si="12"/>
        <v>6675.621297</v>
      </c>
      <c r="H104" s="8"/>
      <c r="I104" s="9">
        <f t="shared" si="2"/>
        <v>15</v>
      </c>
      <c r="J104" s="8"/>
      <c r="K104" s="27"/>
      <c r="L104" s="9">
        <f t="shared" si="4"/>
        <v>42819.99454</v>
      </c>
      <c r="M104" s="27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28"/>
      <c r="B105" s="19">
        <v>42108.0</v>
      </c>
      <c r="C105" s="20">
        <v>15.0</v>
      </c>
      <c r="D105" s="26">
        <v>104.0</v>
      </c>
      <c r="E105" s="34">
        <f t="shared" si="13"/>
        <v>6647.933333</v>
      </c>
      <c r="F105" s="34">
        <f t="shared" si="11"/>
        <v>0.03225806452</v>
      </c>
      <c r="G105" s="35">
        <f t="shared" si="12"/>
        <v>6661.777315</v>
      </c>
      <c r="H105" s="8"/>
      <c r="I105" s="9">
        <f t="shared" si="2"/>
        <v>15</v>
      </c>
      <c r="J105" s="8"/>
      <c r="K105" s="27"/>
      <c r="L105" s="9">
        <f t="shared" si="4"/>
        <v>42819.99454</v>
      </c>
      <c r="M105" s="27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28"/>
      <c r="B106" s="19">
        <v>42109.0</v>
      </c>
      <c r="C106" s="20">
        <v>15.0</v>
      </c>
      <c r="D106" s="26">
        <v>105.0</v>
      </c>
      <c r="E106" s="34">
        <f t="shared" si="13"/>
        <v>6647.933333</v>
      </c>
      <c r="F106" s="34">
        <f t="shared" ref="F106:F136" si="14">abs((D106-135)/(135-105))</f>
        <v>1</v>
      </c>
      <c r="G106" s="35">
        <f>E106</f>
        <v>6647.933333</v>
      </c>
      <c r="H106" s="8"/>
      <c r="I106" s="9">
        <f t="shared" si="2"/>
        <v>15</v>
      </c>
      <c r="J106" s="8"/>
      <c r="K106" s="27"/>
      <c r="L106" s="9">
        <f t="shared" si="4"/>
        <v>42819.99454</v>
      </c>
      <c r="M106" s="27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3"/>
      <c r="B107" s="19">
        <v>42110.0</v>
      </c>
      <c r="C107" s="20">
        <v>16.0</v>
      </c>
      <c r="D107" s="26">
        <v>106.0</v>
      </c>
      <c r="E107" s="34">
        <f t="shared" si="13"/>
        <v>6647.933333</v>
      </c>
      <c r="F107" s="34">
        <f t="shared" si="14"/>
        <v>0.9666666667</v>
      </c>
      <c r="G107" s="35">
        <f t="shared" ref="G107:G136" si="15">E92*F107+(1-F107)*E122</f>
        <v>6655.53233</v>
      </c>
      <c r="H107" s="8"/>
      <c r="I107" s="9">
        <f t="shared" si="2"/>
        <v>16</v>
      </c>
      <c r="J107" s="22">
        <f>SUM(G107:G113)</f>
        <v>46748.30523</v>
      </c>
      <c r="K107" s="24">
        <v>46748.30523</v>
      </c>
      <c r="L107" s="9">
        <f t="shared" si="4"/>
        <v>42819.99454</v>
      </c>
      <c r="M107" s="24">
        <v>42819.99454</v>
      </c>
      <c r="N107" s="25">
        <v>12421.32322</v>
      </c>
      <c r="O107" s="25">
        <v>11629.21447</v>
      </c>
      <c r="P107" s="25">
        <v>2867.870896</v>
      </c>
      <c r="Q107" s="25">
        <v>19664.835</v>
      </c>
      <c r="R107" s="18"/>
      <c r="S107" s="25">
        <v>11235.69274</v>
      </c>
      <c r="T107" s="25">
        <v>9995.675765</v>
      </c>
      <c r="U107" s="25">
        <v>2616.108656</v>
      </c>
      <c r="V107" s="25">
        <v>18814.00054</v>
      </c>
      <c r="W107" s="25">
        <v>1185.630482</v>
      </c>
      <c r="X107" s="25">
        <v>1633.538703</v>
      </c>
      <c r="Y107" s="25">
        <v>251.76224</v>
      </c>
      <c r="Z107" s="25">
        <v>850.8344649</v>
      </c>
    </row>
    <row r="108">
      <c r="A108" s="13"/>
      <c r="B108" s="19">
        <v>42111.0</v>
      </c>
      <c r="C108" s="20">
        <v>16.0</v>
      </c>
      <c r="D108" s="26">
        <v>107.0</v>
      </c>
      <c r="E108" s="34">
        <f t="shared" si="13"/>
        <v>6647.933333</v>
      </c>
      <c r="F108" s="34">
        <f t="shared" si="14"/>
        <v>0.9333333333</v>
      </c>
      <c r="G108" s="35">
        <f t="shared" si="15"/>
        <v>6663.131326</v>
      </c>
      <c r="H108" s="8"/>
      <c r="I108" s="9">
        <f t="shared" si="2"/>
        <v>16</v>
      </c>
      <c r="J108" s="8"/>
      <c r="K108" s="27"/>
      <c r="L108" s="9">
        <f t="shared" si="4"/>
        <v>42819.99454</v>
      </c>
      <c r="M108" s="27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28"/>
      <c r="B109" s="19">
        <v>42112.0</v>
      </c>
      <c r="C109" s="20">
        <v>16.0</v>
      </c>
      <c r="D109" s="26">
        <v>108.0</v>
      </c>
      <c r="E109" s="34">
        <f t="shared" si="13"/>
        <v>6647.933333</v>
      </c>
      <c r="F109" s="34">
        <f t="shared" si="14"/>
        <v>0.9</v>
      </c>
      <c r="G109" s="35">
        <f t="shared" si="15"/>
        <v>6670.730323</v>
      </c>
      <c r="H109" s="8"/>
      <c r="I109" s="9">
        <f t="shared" si="2"/>
        <v>16</v>
      </c>
      <c r="J109" s="8"/>
      <c r="K109" s="27"/>
      <c r="L109" s="9">
        <f t="shared" si="4"/>
        <v>42819.99454</v>
      </c>
      <c r="M109" s="27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28"/>
      <c r="B110" s="19">
        <v>42113.0</v>
      </c>
      <c r="C110" s="20">
        <v>16.0</v>
      </c>
      <c r="D110" s="26">
        <v>109.0</v>
      </c>
      <c r="E110" s="34">
        <f t="shared" si="13"/>
        <v>6647.933333</v>
      </c>
      <c r="F110" s="34">
        <f t="shared" si="14"/>
        <v>0.8666666667</v>
      </c>
      <c r="G110" s="35">
        <f t="shared" si="15"/>
        <v>6678.329319</v>
      </c>
      <c r="H110" s="8"/>
      <c r="I110" s="9">
        <f t="shared" si="2"/>
        <v>16</v>
      </c>
      <c r="J110" s="8"/>
      <c r="K110" s="27"/>
      <c r="L110" s="9">
        <f t="shared" si="4"/>
        <v>42819.99454</v>
      </c>
      <c r="M110" s="27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28"/>
      <c r="B111" s="19">
        <v>42114.0</v>
      </c>
      <c r="C111" s="20">
        <v>16.0</v>
      </c>
      <c r="D111" s="26">
        <v>110.0</v>
      </c>
      <c r="E111" s="34">
        <f t="shared" si="13"/>
        <v>6647.933333</v>
      </c>
      <c r="F111" s="34">
        <f t="shared" si="14"/>
        <v>0.8333333333</v>
      </c>
      <c r="G111" s="35">
        <f t="shared" si="15"/>
        <v>6685.928315</v>
      </c>
      <c r="H111" s="8"/>
      <c r="I111" s="9">
        <f t="shared" si="2"/>
        <v>16</v>
      </c>
      <c r="J111" s="8"/>
      <c r="K111" s="27"/>
      <c r="L111" s="9">
        <f t="shared" si="4"/>
        <v>42819.99454</v>
      </c>
      <c r="M111" s="27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28"/>
      <c r="B112" s="19">
        <v>42115.0</v>
      </c>
      <c r="C112" s="20">
        <v>16.0</v>
      </c>
      <c r="D112" s="26">
        <v>111.0</v>
      </c>
      <c r="E112" s="34">
        <f t="shared" si="13"/>
        <v>6647.933333</v>
      </c>
      <c r="F112" s="34">
        <f t="shared" si="14"/>
        <v>0.8</v>
      </c>
      <c r="G112" s="35">
        <f t="shared" si="15"/>
        <v>6693.527312</v>
      </c>
      <c r="H112" s="8"/>
      <c r="I112" s="9">
        <f t="shared" si="2"/>
        <v>16</v>
      </c>
      <c r="J112" s="8"/>
      <c r="K112" s="27"/>
      <c r="L112" s="9">
        <f t="shared" si="4"/>
        <v>42819.99454</v>
      </c>
      <c r="M112" s="27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28"/>
      <c r="B113" s="19">
        <v>42116.0</v>
      </c>
      <c r="C113" s="20">
        <v>16.0</v>
      </c>
      <c r="D113" s="26">
        <v>112.0</v>
      </c>
      <c r="E113" s="34">
        <f t="shared" si="13"/>
        <v>6647.933333</v>
      </c>
      <c r="F113" s="34">
        <f t="shared" si="14"/>
        <v>0.7666666667</v>
      </c>
      <c r="G113" s="35">
        <f t="shared" si="15"/>
        <v>6701.126308</v>
      </c>
      <c r="H113" s="8"/>
      <c r="I113" s="9">
        <f t="shared" si="2"/>
        <v>16</v>
      </c>
      <c r="J113" s="8"/>
      <c r="K113" s="27"/>
      <c r="L113" s="9">
        <f t="shared" si="4"/>
        <v>42819.99454</v>
      </c>
      <c r="M113" s="27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28"/>
      <c r="B114" s="19">
        <v>42117.0</v>
      </c>
      <c r="C114" s="20">
        <v>17.0</v>
      </c>
      <c r="D114" s="26">
        <v>113.0</v>
      </c>
      <c r="E114" s="34">
        <f t="shared" si="13"/>
        <v>6647.933333</v>
      </c>
      <c r="F114" s="34">
        <f t="shared" si="14"/>
        <v>0.7333333333</v>
      </c>
      <c r="G114" s="35">
        <f t="shared" si="15"/>
        <v>6708.725305</v>
      </c>
      <c r="H114" s="8"/>
      <c r="I114" s="9">
        <f t="shared" si="2"/>
        <v>17</v>
      </c>
      <c r="J114" s="22">
        <f>SUM(G114:G120)</f>
        <v>47120.65606</v>
      </c>
      <c r="K114" s="24">
        <v>47120.65606</v>
      </c>
      <c r="L114" s="9">
        <f t="shared" si="4"/>
        <v>42819.99454</v>
      </c>
      <c r="M114" s="24">
        <v>42819.99454</v>
      </c>
      <c r="N114" s="25">
        <v>12075.00476</v>
      </c>
      <c r="O114" s="25">
        <v>11633.64713</v>
      </c>
      <c r="P114" s="25">
        <v>2843.941125</v>
      </c>
      <c r="Q114" s="25">
        <v>19850.71178</v>
      </c>
      <c r="R114" s="18"/>
      <c r="S114" s="25">
        <v>11034.82047</v>
      </c>
      <c r="T114" s="25">
        <v>10221.52227</v>
      </c>
      <c r="U114" s="25">
        <v>2587.203408</v>
      </c>
      <c r="V114" s="25">
        <v>17947.85836</v>
      </c>
      <c r="W114" s="25">
        <v>1040.184286</v>
      </c>
      <c r="X114" s="25">
        <v>1412.124861</v>
      </c>
      <c r="Y114" s="25">
        <v>256.7377172</v>
      </c>
      <c r="Z114" s="25">
        <v>1902.853412</v>
      </c>
    </row>
    <row r="115">
      <c r="A115" s="28"/>
      <c r="B115" s="19">
        <v>42118.0</v>
      </c>
      <c r="C115" s="20">
        <v>17.0</v>
      </c>
      <c r="D115" s="26">
        <v>114.0</v>
      </c>
      <c r="E115" s="34">
        <f t="shared" si="13"/>
        <v>6647.933333</v>
      </c>
      <c r="F115" s="34">
        <f t="shared" si="14"/>
        <v>0.7</v>
      </c>
      <c r="G115" s="35">
        <f t="shared" si="15"/>
        <v>6716.324301</v>
      </c>
      <c r="H115" s="8"/>
      <c r="I115" s="9">
        <f t="shared" si="2"/>
        <v>17</v>
      </c>
      <c r="J115" s="8"/>
      <c r="K115" s="27"/>
      <c r="L115" s="9">
        <f t="shared" si="4"/>
        <v>42819.99454</v>
      </c>
      <c r="M115" s="27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28"/>
      <c r="B116" s="19">
        <v>42119.0</v>
      </c>
      <c r="C116" s="20">
        <v>17.0</v>
      </c>
      <c r="D116" s="26">
        <v>115.0</v>
      </c>
      <c r="E116" s="34">
        <f t="shared" si="13"/>
        <v>6647.933333</v>
      </c>
      <c r="F116" s="34">
        <f t="shared" si="14"/>
        <v>0.6666666667</v>
      </c>
      <c r="G116" s="35">
        <f t="shared" si="15"/>
        <v>6723.923297</v>
      </c>
      <c r="H116" s="8"/>
      <c r="I116" s="9">
        <f t="shared" si="2"/>
        <v>17</v>
      </c>
      <c r="J116" s="8"/>
      <c r="K116" s="27"/>
      <c r="L116" s="9">
        <f t="shared" si="4"/>
        <v>42819.99454</v>
      </c>
      <c r="M116" s="27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28"/>
      <c r="B117" s="19">
        <v>42120.0</v>
      </c>
      <c r="C117" s="20">
        <v>17.0</v>
      </c>
      <c r="D117" s="26">
        <v>116.0</v>
      </c>
      <c r="E117" s="34">
        <f t="shared" si="13"/>
        <v>6647.933333</v>
      </c>
      <c r="F117" s="34">
        <f t="shared" si="14"/>
        <v>0.6333333333</v>
      </c>
      <c r="G117" s="35">
        <f t="shared" si="15"/>
        <v>6731.522294</v>
      </c>
      <c r="H117" s="8"/>
      <c r="I117" s="9">
        <f t="shared" si="2"/>
        <v>17</v>
      </c>
      <c r="J117" s="8"/>
      <c r="K117" s="27"/>
      <c r="L117" s="9">
        <f t="shared" si="4"/>
        <v>42819.99454</v>
      </c>
      <c r="M117" s="27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28"/>
      <c r="B118" s="19">
        <v>42121.0</v>
      </c>
      <c r="C118" s="20">
        <v>17.0</v>
      </c>
      <c r="D118" s="26">
        <v>117.0</v>
      </c>
      <c r="E118" s="34">
        <f t="shared" si="13"/>
        <v>6647.933333</v>
      </c>
      <c r="F118" s="34">
        <f t="shared" si="14"/>
        <v>0.6</v>
      </c>
      <c r="G118" s="35">
        <f t="shared" si="15"/>
        <v>6739.12129</v>
      </c>
      <c r="H118" s="8"/>
      <c r="I118" s="9">
        <f t="shared" si="2"/>
        <v>17</v>
      </c>
      <c r="J118" s="8"/>
      <c r="K118" s="27"/>
      <c r="L118" s="9">
        <f t="shared" si="4"/>
        <v>42819.99454</v>
      </c>
      <c r="M118" s="27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28"/>
      <c r="B119" s="19">
        <v>42122.0</v>
      </c>
      <c r="C119" s="20">
        <v>17.0</v>
      </c>
      <c r="D119" s="26">
        <v>118.0</v>
      </c>
      <c r="E119" s="34">
        <f t="shared" si="13"/>
        <v>6647.933333</v>
      </c>
      <c r="F119" s="34">
        <f t="shared" si="14"/>
        <v>0.5666666667</v>
      </c>
      <c r="G119" s="35">
        <f t="shared" si="15"/>
        <v>6746.720287</v>
      </c>
      <c r="H119" s="8"/>
      <c r="I119" s="9">
        <f t="shared" si="2"/>
        <v>17</v>
      </c>
      <c r="J119" s="8"/>
      <c r="K119" s="27"/>
      <c r="L119" s="9">
        <f t="shared" si="4"/>
        <v>42819.99454</v>
      </c>
      <c r="M119" s="27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28"/>
      <c r="B120" s="19">
        <v>42123.0</v>
      </c>
      <c r="C120" s="20">
        <v>17.0</v>
      </c>
      <c r="D120" s="26">
        <v>119.0</v>
      </c>
      <c r="E120" s="34">
        <f t="shared" si="13"/>
        <v>6647.933333</v>
      </c>
      <c r="F120" s="34">
        <f t="shared" si="14"/>
        <v>0.5333333333</v>
      </c>
      <c r="G120" s="35">
        <f t="shared" si="15"/>
        <v>6754.319283</v>
      </c>
      <c r="H120" s="8"/>
      <c r="I120" s="9">
        <f t="shared" si="2"/>
        <v>17</v>
      </c>
      <c r="J120" s="8"/>
      <c r="K120" s="27"/>
      <c r="L120" s="9">
        <f t="shared" si="4"/>
        <v>42819.99454</v>
      </c>
      <c r="M120" s="27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28"/>
      <c r="B121" s="19">
        <v>42124.0</v>
      </c>
      <c r="C121" s="20">
        <v>18.0</v>
      </c>
      <c r="D121" s="26">
        <v>120.0</v>
      </c>
      <c r="E121" s="34">
        <f t="shared" si="13"/>
        <v>6647.933333</v>
      </c>
      <c r="F121" s="34">
        <f t="shared" si="14"/>
        <v>0.5</v>
      </c>
      <c r="G121" s="35">
        <f t="shared" si="15"/>
        <v>6761.91828</v>
      </c>
      <c r="H121" s="8"/>
      <c r="I121" s="9">
        <f t="shared" si="2"/>
        <v>18</v>
      </c>
      <c r="J121" s="22">
        <f>SUM(G121:G127)</f>
        <v>47493.00688</v>
      </c>
      <c r="K121" s="24">
        <v>47493.00688</v>
      </c>
      <c r="L121" s="9">
        <f t="shared" si="4"/>
        <v>42819.99454</v>
      </c>
      <c r="M121" s="24">
        <v>42819.99454</v>
      </c>
      <c r="N121" s="25">
        <v>12255.89523</v>
      </c>
      <c r="O121" s="25">
        <v>11057.77083</v>
      </c>
      <c r="P121" s="25">
        <v>2796.013967</v>
      </c>
      <c r="Q121" s="25">
        <v>21694.30588</v>
      </c>
      <c r="R121" s="18"/>
      <c r="S121" s="25">
        <v>11934.94024</v>
      </c>
      <c r="T121" s="25">
        <v>10626.45351</v>
      </c>
      <c r="U121" s="25">
        <v>2496.515509</v>
      </c>
      <c r="V121" s="25">
        <v>19254.75937</v>
      </c>
      <c r="W121" s="25">
        <v>320.9549887</v>
      </c>
      <c r="X121" s="25">
        <v>431.3173234</v>
      </c>
      <c r="Y121" s="25">
        <v>299.4984574</v>
      </c>
      <c r="Z121" s="25">
        <v>2439.546508</v>
      </c>
    </row>
    <row r="122">
      <c r="A122" s="28"/>
      <c r="B122" s="19">
        <v>42125.0</v>
      </c>
      <c r="C122" s="20">
        <v>18.0</v>
      </c>
      <c r="D122" s="26">
        <v>121.0</v>
      </c>
      <c r="E122" s="34">
        <f>A124/31</f>
        <v>6875.903226</v>
      </c>
      <c r="F122" s="34">
        <f t="shared" si="14"/>
        <v>0.4666666667</v>
      </c>
      <c r="G122" s="35">
        <f t="shared" si="15"/>
        <v>6769.517276</v>
      </c>
      <c r="H122" s="8"/>
      <c r="I122" s="9">
        <f t="shared" si="2"/>
        <v>18</v>
      </c>
      <c r="J122" s="8"/>
      <c r="K122" s="27"/>
      <c r="L122" s="9">
        <f t="shared" si="4"/>
        <v>42819.99454</v>
      </c>
      <c r="M122" s="27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3" t="s">
        <v>68</v>
      </c>
      <c r="B123" s="19">
        <v>42126.0</v>
      </c>
      <c r="C123" s="20">
        <v>18.0</v>
      </c>
      <c r="D123" s="26">
        <v>122.0</v>
      </c>
      <c r="E123" s="34">
        <f t="shared" ref="E123:E152" si="16">E122</f>
        <v>6875.903226</v>
      </c>
      <c r="F123" s="34">
        <f t="shared" si="14"/>
        <v>0.4333333333</v>
      </c>
      <c r="G123" s="35">
        <f t="shared" si="15"/>
        <v>6777.116272</v>
      </c>
      <c r="H123" s="8"/>
      <c r="I123" s="9">
        <f t="shared" si="2"/>
        <v>18</v>
      </c>
      <c r="J123" s="8"/>
      <c r="K123" s="27"/>
      <c r="L123" s="9">
        <f t="shared" si="4"/>
        <v>42819.99454</v>
      </c>
      <c r="M123" s="27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20">
        <v>213153.0</v>
      </c>
      <c r="B124" s="19">
        <v>42127.0</v>
      </c>
      <c r="C124" s="20">
        <v>18.0</v>
      </c>
      <c r="D124" s="26">
        <v>123.0</v>
      </c>
      <c r="E124" s="34">
        <f t="shared" si="16"/>
        <v>6875.903226</v>
      </c>
      <c r="F124" s="34">
        <f t="shared" si="14"/>
        <v>0.4</v>
      </c>
      <c r="G124" s="35">
        <f t="shared" si="15"/>
        <v>6784.715269</v>
      </c>
      <c r="H124" s="8"/>
      <c r="I124" s="9">
        <f t="shared" si="2"/>
        <v>18</v>
      </c>
      <c r="J124" s="8"/>
      <c r="K124" s="27"/>
      <c r="L124" s="9">
        <f t="shared" si="4"/>
        <v>42819.99454</v>
      </c>
      <c r="M124" s="27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28"/>
      <c r="B125" s="19">
        <v>42128.0</v>
      </c>
      <c r="C125" s="20">
        <v>18.0</v>
      </c>
      <c r="D125" s="26">
        <v>124.0</v>
      </c>
      <c r="E125" s="34">
        <f t="shared" si="16"/>
        <v>6875.903226</v>
      </c>
      <c r="F125" s="34">
        <f t="shared" si="14"/>
        <v>0.3666666667</v>
      </c>
      <c r="G125" s="35">
        <f t="shared" si="15"/>
        <v>6792.314265</v>
      </c>
      <c r="H125" s="8"/>
      <c r="I125" s="9">
        <f t="shared" si="2"/>
        <v>18</v>
      </c>
      <c r="J125" s="8"/>
      <c r="K125" s="27"/>
      <c r="L125" s="9">
        <f t="shared" si="4"/>
        <v>42819.99454</v>
      </c>
      <c r="M125" s="27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28"/>
      <c r="B126" s="19">
        <v>42129.0</v>
      </c>
      <c r="C126" s="20">
        <v>18.0</v>
      </c>
      <c r="D126" s="26">
        <v>125.0</v>
      </c>
      <c r="E126" s="34">
        <f t="shared" si="16"/>
        <v>6875.903226</v>
      </c>
      <c r="F126" s="34">
        <f t="shared" si="14"/>
        <v>0.3333333333</v>
      </c>
      <c r="G126" s="35">
        <f t="shared" si="15"/>
        <v>6799.913262</v>
      </c>
      <c r="H126" s="8"/>
      <c r="I126" s="9">
        <f t="shared" si="2"/>
        <v>18</v>
      </c>
      <c r="J126" s="8"/>
      <c r="K126" s="27"/>
      <c r="L126" s="9">
        <f t="shared" si="4"/>
        <v>42819.99454</v>
      </c>
      <c r="M126" s="27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28"/>
      <c r="B127" s="19">
        <v>42130.0</v>
      </c>
      <c r="C127" s="20">
        <v>18.0</v>
      </c>
      <c r="D127" s="26">
        <v>126.0</v>
      </c>
      <c r="E127" s="34">
        <f t="shared" si="16"/>
        <v>6875.903226</v>
      </c>
      <c r="F127" s="34">
        <f t="shared" si="14"/>
        <v>0.3</v>
      </c>
      <c r="G127" s="35">
        <f t="shared" si="15"/>
        <v>6807.512258</v>
      </c>
      <c r="H127" s="8"/>
      <c r="I127" s="9">
        <f t="shared" si="2"/>
        <v>18</v>
      </c>
      <c r="J127" s="8"/>
      <c r="K127" s="27"/>
      <c r="L127" s="9">
        <f t="shared" si="4"/>
        <v>42819.99454</v>
      </c>
      <c r="M127" s="27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28"/>
      <c r="B128" s="19">
        <v>42131.0</v>
      </c>
      <c r="C128" s="20">
        <v>19.0</v>
      </c>
      <c r="D128" s="26">
        <v>127.0</v>
      </c>
      <c r="E128" s="34">
        <f t="shared" si="16"/>
        <v>6875.903226</v>
      </c>
      <c r="F128" s="34">
        <f t="shared" si="14"/>
        <v>0.2666666667</v>
      </c>
      <c r="G128" s="35">
        <f t="shared" si="15"/>
        <v>6815.111254</v>
      </c>
      <c r="H128" s="8"/>
      <c r="I128" s="9">
        <f t="shared" si="2"/>
        <v>19</v>
      </c>
      <c r="J128" s="22">
        <f>SUM(G128:G134)</f>
        <v>47865.35771</v>
      </c>
      <c r="K128" s="24">
        <v>47865.35771</v>
      </c>
      <c r="L128" s="9">
        <f t="shared" si="4"/>
        <v>42819.99454</v>
      </c>
      <c r="M128" s="24">
        <v>42819.99454</v>
      </c>
      <c r="N128" s="25">
        <v>12967.24923</v>
      </c>
      <c r="O128" s="25">
        <v>10837.70421</v>
      </c>
      <c r="P128" s="25">
        <v>2874.569313</v>
      </c>
      <c r="Q128" s="25">
        <v>20004.53422</v>
      </c>
      <c r="R128" s="18"/>
      <c r="S128" s="25">
        <v>11447.4488</v>
      </c>
      <c r="T128" s="25">
        <v>10582.72096</v>
      </c>
      <c r="U128" s="25">
        <v>2635.014131</v>
      </c>
      <c r="V128" s="25">
        <v>18040.43571</v>
      </c>
      <c r="W128" s="25">
        <v>1519.800427</v>
      </c>
      <c r="X128" s="25">
        <v>254.9832478</v>
      </c>
      <c r="Y128" s="25">
        <v>239.5551825</v>
      </c>
      <c r="Z128" s="25">
        <v>1964.098505</v>
      </c>
    </row>
    <row r="129">
      <c r="A129" s="28"/>
      <c r="B129" s="19">
        <v>42132.0</v>
      </c>
      <c r="C129" s="20">
        <v>19.0</v>
      </c>
      <c r="D129" s="26">
        <v>128.0</v>
      </c>
      <c r="E129" s="34">
        <f t="shared" si="16"/>
        <v>6875.903226</v>
      </c>
      <c r="F129" s="34">
        <f t="shared" si="14"/>
        <v>0.2333333333</v>
      </c>
      <c r="G129" s="35">
        <f t="shared" si="15"/>
        <v>6822.710251</v>
      </c>
      <c r="H129" s="8"/>
      <c r="I129" s="9">
        <f t="shared" si="2"/>
        <v>19</v>
      </c>
      <c r="J129" s="8"/>
      <c r="K129" s="27"/>
      <c r="L129" s="9">
        <f t="shared" si="4"/>
        <v>42819.99454</v>
      </c>
      <c r="M129" s="27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28"/>
      <c r="B130" s="19">
        <v>42133.0</v>
      </c>
      <c r="C130" s="20">
        <v>19.0</v>
      </c>
      <c r="D130" s="26">
        <v>129.0</v>
      </c>
      <c r="E130" s="34">
        <f t="shared" si="16"/>
        <v>6875.903226</v>
      </c>
      <c r="F130" s="34">
        <f t="shared" si="14"/>
        <v>0.2</v>
      </c>
      <c r="G130" s="35">
        <f t="shared" si="15"/>
        <v>6830.309247</v>
      </c>
      <c r="H130" s="8"/>
      <c r="I130" s="9">
        <f t="shared" si="2"/>
        <v>19</v>
      </c>
      <c r="J130" s="8"/>
      <c r="K130" s="27"/>
      <c r="L130" s="9">
        <f t="shared" si="4"/>
        <v>42819.99454</v>
      </c>
      <c r="M130" s="27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28"/>
      <c r="B131" s="19">
        <v>42134.0</v>
      </c>
      <c r="C131" s="20">
        <v>19.0</v>
      </c>
      <c r="D131" s="26">
        <v>130.0</v>
      </c>
      <c r="E131" s="34">
        <f t="shared" si="16"/>
        <v>6875.903226</v>
      </c>
      <c r="F131" s="34">
        <f t="shared" si="14"/>
        <v>0.1666666667</v>
      </c>
      <c r="G131" s="35">
        <f t="shared" si="15"/>
        <v>6837.908244</v>
      </c>
      <c r="H131" s="8"/>
      <c r="I131" s="9">
        <f t="shared" si="2"/>
        <v>19</v>
      </c>
      <c r="J131" s="8"/>
      <c r="K131" s="27"/>
      <c r="L131" s="9">
        <f t="shared" si="4"/>
        <v>42819.99454</v>
      </c>
      <c r="M131" s="27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28"/>
      <c r="B132" s="19">
        <v>42135.0</v>
      </c>
      <c r="C132" s="20">
        <v>19.0</v>
      </c>
      <c r="D132" s="26">
        <v>131.0</v>
      </c>
      <c r="E132" s="34">
        <f t="shared" si="16"/>
        <v>6875.903226</v>
      </c>
      <c r="F132" s="34">
        <f t="shared" si="14"/>
        <v>0.1333333333</v>
      </c>
      <c r="G132" s="35">
        <f t="shared" si="15"/>
        <v>6845.50724</v>
      </c>
      <c r="H132" s="8"/>
      <c r="I132" s="9">
        <f t="shared" si="2"/>
        <v>19</v>
      </c>
      <c r="J132" s="8"/>
      <c r="K132" s="27"/>
      <c r="L132" s="9">
        <f t="shared" si="4"/>
        <v>42819.99454</v>
      </c>
      <c r="M132" s="27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28"/>
      <c r="B133" s="19">
        <v>42136.0</v>
      </c>
      <c r="C133" s="20">
        <v>19.0</v>
      </c>
      <c r="D133" s="26">
        <v>132.0</v>
      </c>
      <c r="E133" s="34">
        <f t="shared" si="16"/>
        <v>6875.903226</v>
      </c>
      <c r="F133" s="34">
        <f t="shared" si="14"/>
        <v>0.1</v>
      </c>
      <c r="G133" s="35">
        <f t="shared" si="15"/>
        <v>6853.106237</v>
      </c>
      <c r="H133" s="8"/>
      <c r="I133" s="9">
        <f t="shared" si="2"/>
        <v>19</v>
      </c>
      <c r="J133" s="8"/>
      <c r="K133" s="27"/>
      <c r="L133" s="9">
        <f t="shared" si="4"/>
        <v>42819.99454</v>
      </c>
      <c r="M133" s="27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28"/>
      <c r="B134" s="19">
        <v>42137.0</v>
      </c>
      <c r="C134" s="20">
        <v>19.0</v>
      </c>
      <c r="D134" s="26">
        <v>133.0</v>
      </c>
      <c r="E134" s="34">
        <f t="shared" si="16"/>
        <v>6875.903226</v>
      </c>
      <c r="F134" s="34">
        <f t="shared" si="14"/>
        <v>0.06666666667</v>
      </c>
      <c r="G134" s="35">
        <f t="shared" si="15"/>
        <v>6860.705233</v>
      </c>
      <c r="H134" s="8"/>
      <c r="I134" s="9">
        <f t="shared" si="2"/>
        <v>19</v>
      </c>
      <c r="J134" s="8"/>
      <c r="K134" s="27"/>
      <c r="L134" s="9">
        <f t="shared" si="4"/>
        <v>42819.99454</v>
      </c>
      <c r="M134" s="27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28"/>
      <c r="B135" s="19">
        <v>42138.0</v>
      </c>
      <c r="C135" s="20">
        <v>20.0</v>
      </c>
      <c r="D135" s="26">
        <v>134.0</v>
      </c>
      <c r="E135" s="34">
        <f t="shared" si="16"/>
        <v>6875.903226</v>
      </c>
      <c r="F135" s="34">
        <f t="shared" si="14"/>
        <v>0.03333333333</v>
      </c>
      <c r="G135" s="35">
        <f t="shared" si="15"/>
        <v>6868.304229</v>
      </c>
      <c r="H135" s="8"/>
      <c r="I135" s="9">
        <f t="shared" si="2"/>
        <v>20</v>
      </c>
      <c r="J135" s="22">
        <f>SUM(G135:G141)</f>
        <v>48341.68977</v>
      </c>
      <c r="K135" s="24">
        <v>48341.68977</v>
      </c>
      <c r="L135" s="9">
        <f t="shared" si="4"/>
        <v>42819.99454</v>
      </c>
      <c r="M135" s="24">
        <v>42819.99454</v>
      </c>
      <c r="N135" s="25">
        <v>12554.22639</v>
      </c>
      <c r="O135" s="25">
        <v>11649.5302</v>
      </c>
      <c r="P135" s="25">
        <v>3024.526944</v>
      </c>
      <c r="Q135" s="25">
        <v>21656.90303</v>
      </c>
      <c r="R135" s="18"/>
      <c r="S135" s="25">
        <v>11422.14836</v>
      </c>
      <c r="T135" s="25">
        <v>10046.19368</v>
      </c>
      <c r="U135" s="25">
        <v>2515.433312</v>
      </c>
      <c r="V135" s="25">
        <v>18141.55754</v>
      </c>
      <c r="W135" s="25">
        <v>1132.078024</v>
      </c>
      <c r="X135" s="25">
        <v>1603.336522</v>
      </c>
      <c r="Y135" s="25">
        <v>509.0936327</v>
      </c>
      <c r="Z135" s="25">
        <v>3515.345486</v>
      </c>
    </row>
    <row r="136">
      <c r="A136" s="28"/>
      <c r="B136" s="19">
        <v>42139.0</v>
      </c>
      <c r="C136" s="20">
        <v>20.0</v>
      </c>
      <c r="D136" s="26">
        <v>135.0</v>
      </c>
      <c r="E136" s="34">
        <f t="shared" si="16"/>
        <v>6875.903226</v>
      </c>
      <c r="F136" s="34">
        <f t="shared" si="14"/>
        <v>0</v>
      </c>
      <c r="G136" s="35">
        <f t="shared" si="15"/>
        <v>6875.903226</v>
      </c>
      <c r="H136" s="8"/>
      <c r="I136" s="9">
        <f t="shared" si="2"/>
        <v>20</v>
      </c>
      <c r="J136" s="8"/>
      <c r="K136" s="27"/>
      <c r="L136" s="9">
        <f t="shared" si="4"/>
        <v>42819.99454</v>
      </c>
      <c r="M136" s="27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3"/>
      <c r="B137" s="19">
        <v>42140.0</v>
      </c>
      <c r="C137" s="20">
        <v>20.0</v>
      </c>
      <c r="D137" s="26">
        <v>136.0</v>
      </c>
      <c r="E137" s="34">
        <f t="shared" si="16"/>
        <v>6875.903226</v>
      </c>
      <c r="F137" s="34">
        <f t="shared" ref="F137:F167" si="17">abs((D137-166)/(135-166))</f>
        <v>0.9677419355</v>
      </c>
      <c r="G137" s="35">
        <f t="shared" ref="G137:G166" si="18">E122*F137+(1-F137)*E153</f>
        <v>6890.434305</v>
      </c>
      <c r="H137" s="8"/>
      <c r="I137" s="9">
        <f t="shared" si="2"/>
        <v>20</v>
      </c>
      <c r="J137" s="8"/>
      <c r="K137" s="27"/>
      <c r="L137" s="9">
        <f t="shared" si="4"/>
        <v>42819.99454</v>
      </c>
      <c r="M137" s="27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3"/>
      <c r="B138" s="19">
        <v>42141.0</v>
      </c>
      <c r="C138" s="20">
        <v>20.0</v>
      </c>
      <c r="D138" s="26">
        <v>137.0</v>
      </c>
      <c r="E138" s="34">
        <f t="shared" si="16"/>
        <v>6875.903226</v>
      </c>
      <c r="F138" s="34">
        <f t="shared" si="17"/>
        <v>0.935483871</v>
      </c>
      <c r="G138" s="35">
        <f t="shared" si="18"/>
        <v>6904.965383</v>
      </c>
      <c r="H138" s="8"/>
      <c r="I138" s="9">
        <f t="shared" si="2"/>
        <v>20</v>
      </c>
      <c r="J138" s="8"/>
      <c r="K138" s="27"/>
      <c r="L138" s="9">
        <f t="shared" si="4"/>
        <v>42819.99454</v>
      </c>
      <c r="M138" s="27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28"/>
      <c r="B139" s="19">
        <v>42142.0</v>
      </c>
      <c r="C139" s="20">
        <v>20.0</v>
      </c>
      <c r="D139" s="26">
        <v>138.0</v>
      </c>
      <c r="E139" s="34">
        <f t="shared" si="16"/>
        <v>6875.903226</v>
      </c>
      <c r="F139" s="34">
        <f t="shared" si="17"/>
        <v>0.9032258065</v>
      </c>
      <c r="G139" s="35">
        <f t="shared" si="18"/>
        <v>6919.496462</v>
      </c>
      <c r="H139" s="8"/>
      <c r="I139" s="9">
        <f t="shared" si="2"/>
        <v>20</v>
      </c>
      <c r="J139" s="8"/>
      <c r="K139" s="27"/>
      <c r="L139" s="9">
        <f t="shared" si="4"/>
        <v>42819.99454</v>
      </c>
      <c r="M139" s="27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28"/>
      <c r="B140" s="19">
        <v>42143.0</v>
      </c>
      <c r="C140" s="20">
        <v>20.0</v>
      </c>
      <c r="D140" s="26">
        <v>139.0</v>
      </c>
      <c r="E140" s="34">
        <f t="shared" si="16"/>
        <v>6875.903226</v>
      </c>
      <c r="F140" s="34">
        <f t="shared" si="17"/>
        <v>0.8709677419</v>
      </c>
      <c r="G140" s="35">
        <f t="shared" si="18"/>
        <v>6934.027541</v>
      </c>
      <c r="H140" s="8"/>
      <c r="I140" s="9">
        <f t="shared" si="2"/>
        <v>20</v>
      </c>
      <c r="J140" s="8"/>
      <c r="K140" s="27"/>
      <c r="L140" s="9">
        <f t="shared" si="4"/>
        <v>42819.99454</v>
      </c>
      <c r="M140" s="27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28"/>
      <c r="B141" s="19">
        <v>42144.0</v>
      </c>
      <c r="C141" s="20">
        <v>20.0</v>
      </c>
      <c r="D141" s="26">
        <v>140.0</v>
      </c>
      <c r="E141" s="34">
        <f t="shared" si="16"/>
        <v>6875.903226</v>
      </c>
      <c r="F141" s="34">
        <f t="shared" si="17"/>
        <v>0.8387096774</v>
      </c>
      <c r="G141" s="35">
        <f t="shared" si="18"/>
        <v>6948.558619</v>
      </c>
      <c r="H141" s="8"/>
      <c r="I141" s="9">
        <f t="shared" si="2"/>
        <v>20</v>
      </c>
      <c r="J141" s="8"/>
      <c r="K141" s="27"/>
      <c r="L141" s="9">
        <f t="shared" si="4"/>
        <v>42819.99454</v>
      </c>
      <c r="M141" s="27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28"/>
      <c r="B142" s="19">
        <v>42145.0</v>
      </c>
      <c r="C142" s="20">
        <v>21.0</v>
      </c>
      <c r="D142" s="26">
        <v>141.0</v>
      </c>
      <c r="E142" s="34">
        <f t="shared" si="16"/>
        <v>6875.903226</v>
      </c>
      <c r="F142" s="34">
        <f t="shared" si="17"/>
        <v>0.8064516129</v>
      </c>
      <c r="G142" s="35">
        <f t="shared" si="18"/>
        <v>6963.089698</v>
      </c>
      <c r="H142" s="8"/>
      <c r="I142" s="9">
        <f t="shared" si="2"/>
        <v>21</v>
      </c>
      <c r="J142" s="22">
        <f>SUM(G142:G148)</f>
        <v>49046.78054</v>
      </c>
      <c r="K142" s="24">
        <v>49046.78054</v>
      </c>
      <c r="L142" s="9">
        <f t="shared" si="4"/>
        <v>42819.99454</v>
      </c>
      <c r="M142" s="24">
        <v>42819.99454</v>
      </c>
      <c r="N142" s="25">
        <v>12900.43528</v>
      </c>
      <c r="O142" s="25">
        <v>12168.61786</v>
      </c>
      <c r="P142" s="25">
        <v>2850.105642</v>
      </c>
      <c r="Q142" s="25">
        <v>20879.17237</v>
      </c>
      <c r="R142" s="18"/>
      <c r="S142" s="25">
        <v>11263.41765</v>
      </c>
      <c r="T142" s="25">
        <v>10513.35291</v>
      </c>
      <c r="U142" s="25">
        <v>2482.638256</v>
      </c>
      <c r="V142" s="25">
        <v>18593.23331</v>
      </c>
      <c r="W142" s="25">
        <v>1637.017627</v>
      </c>
      <c r="X142" s="25">
        <v>1655.264958</v>
      </c>
      <c r="Y142" s="25">
        <v>367.4673867</v>
      </c>
      <c r="Z142" s="25">
        <v>2285.939061</v>
      </c>
    </row>
    <row r="143">
      <c r="A143" s="28"/>
      <c r="B143" s="19">
        <v>42146.0</v>
      </c>
      <c r="C143" s="20">
        <v>21.0</v>
      </c>
      <c r="D143" s="26">
        <v>142.0</v>
      </c>
      <c r="E143" s="34">
        <f t="shared" si="16"/>
        <v>6875.903226</v>
      </c>
      <c r="F143" s="34">
        <f t="shared" si="17"/>
        <v>0.7741935484</v>
      </c>
      <c r="G143" s="35">
        <f t="shared" si="18"/>
        <v>6977.620777</v>
      </c>
      <c r="H143" s="8"/>
      <c r="I143" s="9">
        <f t="shared" si="2"/>
        <v>21</v>
      </c>
      <c r="J143" s="8"/>
      <c r="K143" s="27"/>
      <c r="L143" s="9">
        <f t="shared" si="4"/>
        <v>42819.99454</v>
      </c>
      <c r="M143" s="27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28"/>
      <c r="B144" s="19">
        <v>42147.0</v>
      </c>
      <c r="C144" s="20">
        <v>21.0</v>
      </c>
      <c r="D144" s="26">
        <v>143.0</v>
      </c>
      <c r="E144" s="34">
        <f t="shared" si="16"/>
        <v>6875.903226</v>
      </c>
      <c r="F144" s="34">
        <f t="shared" si="17"/>
        <v>0.7419354839</v>
      </c>
      <c r="G144" s="35">
        <f t="shared" si="18"/>
        <v>6992.151856</v>
      </c>
      <c r="H144" s="8"/>
      <c r="I144" s="9">
        <f t="shared" si="2"/>
        <v>21</v>
      </c>
      <c r="J144" s="8"/>
      <c r="K144" s="27"/>
      <c r="L144" s="9">
        <f t="shared" si="4"/>
        <v>42819.99454</v>
      </c>
      <c r="M144" s="27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28"/>
      <c r="B145" s="19">
        <v>42148.0</v>
      </c>
      <c r="C145" s="20">
        <v>21.0</v>
      </c>
      <c r="D145" s="26">
        <v>144.0</v>
      </c>
      <c r="E145" s="34">
        <f t="shared" si="16"/>
        <v>6875.903226</v>
      </c>
      <c r="F145" s="34">
        <f t="shared" si="17"/>
        <v>0.7096774194</v>
      </c>
      <c r="G145" s="35">
        <f t="shared" si="18"/>
        <v>7006.682934</v>
      </c>
      <c r="H145" s="8"/>
      <c r="I145" s="9">
        <f t="shared" si="2"/>
        <v>21</v>
      </c>
      <c r="J145" s="8"/>
      <c r="K145" s="27"/>
      <c r="L145" s="9">
        <f t="shared" si="4"/>
        <v>42819.99454</v>
      </c>
      <c r="M145" s="27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28"/>
      <c r="B146" s="19">
        <v>42149.0</v>
      </c>
      <c r="C146" s="20">
        <v>21.0</v>
      </c>
      <c r="D146" s="26">
        <v>145.0</v>
      </c>
      <c r="E146" s="34">
        <f t="shared" si="16"/>
        <v>6875.903226</v>
      </c>
      <c r="F146" s="34">
        <f t="shared" si="17"/>
        <v>0.6774193548</v>
      </c>
      <c r="G146" s="35">
        <f t="shared" si="18"/>
        <v>7021.214013</v>
      </c>
      <c r="H146" s="8"/>
      <c r="I146" s="9">
        <f t="shared" si="2"/>
        <v>21</v>
      </c>
      <c r="J146" s="8"/>
      <c r="K146" s="27"/>
      <c r="L146" s="9">
        <f t="shared" si="4"/>
        <v>42819.99454</v>
      </c>
      <c r="M146" s="27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28"/>
      <c r="B147" s="19">
        <v>42150.0</v>
      </c>
      <c r="C147" s="20">
        <v>21.0</v>
      </c>
      <c r="D147" s="26">
        <v>146.0</v>
      </c>
      <c r="E147" s="34">
        <f t="shared" si="16"/>
        <v>6875.903226</v>
      </c>
      <c r="F147" s="34">
        <f t="shared" si="17"/>
        <v>0.6451612903</v>
      </c>
      <c r="G147" s="35">
        <f t="shared" si="18"/>
        <v>7035.745092</v>
      </c>
      <c r="H147" s="8"/>
      <c r="I147" s="9">
        <f t="shared" si="2"/>
        <v>21</v>
      </c>
      <c r="J147" s="8"/>
      <c r="K147" s="27"/>
      <c r="L147" s="9">
        <f t="shared" si="4"/>
        <v>42819.99454</v>
      </c>
      <c r="M147" s="27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28"/>
      <c r="B148" s="19">
        <v>42151.0</v>
      </c>
      <c r="C148" s="20">
        <v>21.0</v>
      </c>
      <c r="D148" s="26">
        <v>147.0</v>
      </c>
      <c r="E148" s="34">
        <f t="shared" si="16"/>
        <v>6875.903226</v>
      </c>
      <c r="F148" s="34">
        <f t="shared" si="17"/>
        <v>0.6129032258</v>
      </c>
      <c r="G148" s="35">
        <f t="shared" si="18"/>
        <v>7050.276171</v>
      </c>
      <c r="H148" s="8"/>
      <c r="I148" s="9">
        <f t="shared" si="2"/>
        <v>21</v>
      </c>
      <c r="J148" s="8"/>
      <c r="K148" s="27"/>
      <c r="L148" s="9">
        <f t="shared" si="4"/>
        <v>42819.99454</v>
      </c>
      <c r="M148" s="27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28"/>
      <c r="B149" s="19">
        <v>42152.0</v>
      </c>
      <c r="C149" s="20">
        <v>22.0</v>
      </c>
      <c r="D149" s="26">
        <v>148.0</v>
      </c>
      <c r="E149" s="34">
        <f t="shared" si="16"/>
        <v>6875.903226</v>
      </c>
      <c r="F149" s="34">
        <f t="shared" si="17"/>
        <v>0.5806451613</v>
      </c>
      <c r="G149" s="35">
        <f t="shared" si="18"/>
        <v>7064.807249</v>
      </c>
      <c r="H149" s="8"/>
      <c r="I149" s="9">
        <f t="shared" si="2"/>
        <v>22</v>
      </c>
      <c r="J149" s="22">
        <f>SUM(G149:G155)</f>
        <v>49758.8034</v>
      </c>
      <c r="K149" s="24">
        <v>49758.8034</v>
      </c>
      <c r="L149" s="9">
        <f t="shared" si="4"/>
        <v>42819.99454</v>
      </c>
      <c r="M149" s="24">
        <v>42819.99454</v>
      </c>
      <c r="N149" s="25">
        <v>13611.47918</v>
      </c>
      <c r="O149" s="25">
        <v>11456.32702</v>
      </c>
      <c r="P149" s="25">
        <v>3031.352698</v>
      </c>
      <c r="Q149" s="25">
        <v>21981.64717</v>
      </c>
      <c r="R149" s="18"/>
      <c r="S149" s="25">
        <v>11540.28153</v>
      </c>
      <c r="T149" s="25">
        <v>9821.786812</v>
      </c>
      <c r="U149" s="25">
        <v>2605.63808</v>
      </c>
      <c r="V149" s="25">
        <v>18604.09502</v>
      </c>
      <c r="W149" s="25">
        <v>2071.197651</v>
      </c>
      <c r="X149" s="25">
        <v>1634.540209</v>
      </c>
      <c r="Y149" s="25">
        <v>425.7146182</v>
      </c>
      <c r="Z149" s="25">
        <v>3377.552149</v>
      </c>
    </row>
    <row r="150">
      <c r="A150" s="28"/>
      <c r="B150" s="19">
        <v>42153.0</v>
      </c>
      <c r="C150" s="20">
        <v>22.0</v>
      </c>
      <c r="D150" s="26">
        <v>149.0</v>
      </c>
      <c r="E150" s="34">
        <f t="shared" si="16"/>
        <v>6875.903226</v>
      </c>
      <c r="F150" s="34">
        <f t="shared" si="17"/>
        <v>0.5483870968</v>
      </c>
      <c r="G150" s="35">
        <f t="shared" si="18"/>
        <v>7079.338328</v>
      </c>
      <c r="H150" s="8"/>
      <c r="I150" s="9">
        <f t="shared" si="2"/>
        <v>22</v>
      </c>
      <c r="J150" s="8"/>
      <c r="K150" s="27"/>
      <c r="L150" s="9">
        <f t="shared" si="4"/>
        <v>42819.99454</v>
      </c>
      <c r="M150" s="27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28"/>
      <c r="B151" s="19">
        <v>42154.0</v>
      </c>
      <c r="C151" s="20">
        <v>22.0</v>
      </c>
      <c r="D151" s="26">
        <v>150.0</v>
      </c>
      <c r="E151" s="34">
        <f t="shared" si="16"/>
        <v>6875.903226</v>
      </c>
      <c r="F151" s="34">
        <f t="shared" si="17"/>
        <v>0.5161290323</v>
      </c>
      <c r="G151" s="35">
        <f t="shared" si="18"/>
        <v>7093.869407</v>
      </c>
      <c r="H151" s="8"/>
      <c r="I151" s="9">
        <f t="shared" si="2"/>
        <v>22</v>
      </c>
      <c r="J151" s="8"/>
      <c r="K151" s="27"/>
      <c r="L151" s="9">
        <f t="shared" si="4"/>
        <v>42819.99454</v>
      </c>
      <c r="M151" s="27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28"/>
      <c r="B152" s="19">
        <v>42155.0</v>
      </c>
      <c r="C152" s="20">
        <v>22.0</v>
      </c>
      <c r="D152" s="26">
        <v>151.0</v>
      </c>
      <c r="E152" s="34">
        <f t="shared" si="16"/>
        <v>6875.903226</v>
      </c>
      <c r="F152" s="34">
        <f t="shared" si="17"/>
        <v>0.4838709677</v>
      </c>
      <c r="G152" s="35">
        <f t="shared" si="18"/>
        <v>7108.400486</v>
      </c>
      <c r="H152" s="8"/>
      <c r="I152" s="9">
        <f t="shared" si="2"/>
        <v>22</v>
      </c>
      <c r="J152" s="8"/>
      <c r="K152" s="27"/>
      <c r="L152" s="9">
        <f t="shared" si="4"/>
        <v>42819.99454</v>
      </c>
      <c r="M152" s="27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28"/>
      <c r="B153" s="19">
        <v>42156.0</v>
      </c>
      <c r="C153" s="20">
        <v>22.0</v>
      </c>
      <c r="D153" s="26">
        <v>152.0</v>
      </c>
      <c r="E153" s="34">
        <f>A155/30</f>
        <v>7326.366667</v>
      </c>
      <c r="F153" s="34">
        <f t="shared" si="17"/>
        <v>0.4516129032</v>
      </c>
      <c r="G153" s="35">
        <f t="shared" si="18"/>
        <v>7122.931564</v>
      </c>
      <c r="H153" s="8"/>
      <c r="I153" s="9">
        <f t="shared" si="2"/>
        <v>22</v>
      </c>
      <c r="J153" s="8"/>
      <c r="K153" s="27"/>
      <c r="L153" s="9">
        <f t="shared" si="4"/>
        <v>42819.99454</v>
      </c>
      <c r="M153" s="27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3" t="s">
        <v>69</v>
      </c>
      <c r="B154" s="19">
        <v>42157.0</v>
      </c>
      <c r="C154" s="20">
        <v>22.0</v>
      </c>
      <c r="D154" s="26">
        <v>153.0</v>
      </c>
      <c r="E154" s="34">
        <f>A155/30</f>
        <v>7326.366667</v>
      </c>
      <c r="F154" s="34">
        <f t="shared" si="17"/>
        <v>0.4193548387</v>
      </c>
      <c r="G154" s="35">
        <f t="shared" si="18"/>
        <v>7137.462643</v>
      </c>
      <c r="H154" s="8"/>
      <c r="I154" s="9">
        <f t="shared" si="2"/>
        <v>22</v>
      </c>
      <c r="J154" s="8"/>
      <c r="K154" s="27"/>
      <c r="L154" s="9">
        <f t="shared" si="4"/>
        <v>42819.99454</v>
      </c>
      <c r="M154" s="27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20">
        <v>219791.0</v>
      </c>
      <c r="B155" s="19">
        <v>42158.0</v>
      </c>
      <c r="C155" s="20">
        <v>22.0</v>
      </c>
      <c r="D155" s="26">
        <v>154.0</v>
      </c>
      <c r="E155" s="34">
        <f t="shared" ref="E155:E182" si="19">E154</f>
        <v>7326.366667</v>
      </c>
      <c r="F155" s="34">
        <f t="shared" si="17"/>
        <v>0.3870967742</v>
      </c>
      <c r="G155" s="35">
        <f t="shared" si="18"/>
        <v>7151.993722</v>
      </c>
      <c r="H155" s="8"/>
      <c r="I155" s="9">
        <f t="shared" si="2"/>
        <v>22</v>
      </c>
      <c r="J155" s="8"/>
      <c r="K155" s="27"/>
      <c r="L155" s="9">
        <f t="shared" si="4"/>
        <v>42819.99454</v>
      </c>
      <c r="M155" s="27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28"/>
      <c r="B156" s="19">
        <v>42159.0</v>
      </c>
      <c r="C156" s="20">
        <v>23.0</v>
      </c>
      <c r="D156" s="26">
        <v>155.0</v>
      </c>
      <c r="E156" s="34">
        <f t="shared" si="19"/>
        <v>7326.366667</v>
      </c>
      <c r="F156" s="34">
        <f t="shared" si="17"/>
        <v>0.3548387097</v>
      </c>
      <c r="G156" s="35">
        <f t="shared" si="18"/>
        <v>7166.524801</v>
      </c>
      <c r="H156" s="8"/>
      <c r="I156" s="9">
        <f t="shared" si="2"/>
        <v>23</v>
      </c>
      <c r="J156" s="22">
        <f>SUM(G156:G162)</f>
        <v>50470.82626</v>
      </c>
      <c r="K156" s="24">
        <v>50470.82626</v>
      </c>
      <c r="L156" s="9">
        <f t="shared" si="4"/>
        <v>42819.99454</v>
      </c>
      <c r="M156" s="24">
        <v>42819.99454</v>
      </c>
      <c r="N156" s="25">
        <v>12860.60171</v>
      </c>
      <c r="O156" s="25">
        <v>12346.08908</v>
      </c>
      <c r="P156" s="25">
        <v>3210.649542</v>
      </c>
      <c r="Q156" s="25">
        <v>21827.71557</v>
      </c>
      <c r="R156" s="18"/>
      <c r="S156" s="25">
        <v>11030.22872</v>
      </c>
      <c r="T156" s="25">
        <v>10339.03458</v>
      </c>
      <c r="U156" s="25">
        <v>2558.601197</v>
      </c>
      <c r="V156" s="25">
        <v>19325.85935</v>
      </c>
      <c r="W156" s="25">
        <v>1830.372992</v>
      </c>
      <c r="X156" s="25">
        <v>2007.054505</v>
      </c>
      <c r="Y156" s="25">
        <v>652.0483448</v>
      </c>
      <c r="Z156" s="25">
        <v>2501.856217</v>
      </c>
    </row>
    <row r="157">
      <c r="A157" s="28"/>
      <c r="B157" s="19">
        <v>42160.0</v>
      </c>
      <c r="C157" s="20">
        <v>23.0</v>
      </c>
      <c r="D157" s="26">
        <v>156.0</v>
      </c>
      <c r="E157" s="34">
        <f t="shared" si="19"/>
        <v>7326.366667</v>
      </c>
      <c r="F157" s="34">
        <f t="shared" si="17"/>
        <v>0.3225806452</v>
      </c>
      <c r="G157" s="35">
        <f t="shared" si="18"/>
        <v>7181.055879</v>
      </c>
      <c r="H157" s="8"/>
      <c r="I157" s="9">
        <f t="shared" si="2"/>
        <v>23</v>
      </c>
      <c r="J157" s="8"/>
      <c r="K157" s="27"/>
      <c r="L157" s="9">
        <f t="shared" si="4"/>
        <v>42819.99454</v>
      </c>
      <c r="M157" s="27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28"/>
      <c r="B158" s="19">
        <v>42161.0</v>
      </c>
      <c r="C158" s="20">
        <v>23.0</v>
      </c>
      <c r="D158" s="26">
        <v>157.0</v>
      </c>
      <c r="E158" s="34">
        <f t="shared" si="19"/>
        <v>7326.366667</v>
      </c>
      <c r="F158" s="34">
        <f t="shared" si="17"/>
        <v>0.2903225806</v>
      </c>
      <c r="G158" s="35">
        <f t="shared" si="18"/>
        <v>7195.586958</v>
      </c>
      <c r="H158" s="8"/>
      <c r="I158" s="9">
        <f t="shared" si="2"/>
        <v>23</v>
      </c>
      <c r="J158" s="8"/>
      <c r="K158" s="27"/>
      <c r="L158" s="9">
        <f t="shared" si="4"/>
        <v>42819.99454</v>
      </c>
      <c r="M158" s="27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28"/>
      <c r="B159" s="19">
        <v>42162.0</v>
      </c>
      <c r="C159" s="20">
        <v>23.0</v>
      </c>
      <c r="D159" s="26">
        <v>158.0</v>
      </c>
      <c r="E159" s="34">
        <f t="shared" si="19"/>
        <v>7326.366667</v>
      </c>
      <c r="F159" s="34">
        <f t="shared" si="17"/>
        <v>0.2580645161</v>
      </c>
      <c r="G159" s="35">
        <f t="shared" si="18"/>
        <v>7210.118037</v>
      </c>
      <c r="H159" s="8"/>
      <c r="I159" s="9">
        <f t="shared" si="2"/>
        <v>23</v>
      </c>
      <c r="J159" s="8"/>
      <c r="K159" s="27"/>
      <c r="L159" s="9">
        <f t="shared" si="4"/>
        <v>42819.99454</v>
      </c>
      <c r="M159" s="27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28"/>
      <c r="B160" s="19">
        <v>42163.0</v>
      </c>
      <c r="C160" s="20">
        <v>23.0</v>
      </c>
      <c r="D160" s="26">
        <v>159.0</v>
      </c>
      <c r="E160" s="34">
        <f t="shared" si="19"/>
        <v>7326.366667</v>
      </c>
      <c r="F160" s="34">
        <f t="shared" si="17"/>
        <v>0.2258064516</v>
      </c>
      <c r="G160" s="35">
        <f t="shared" si="18"/>
        <v>7224.649116</v>
      </c>
      <c r="H160" s="8"/>
      <c r="I160" s="9">
        <f t="shared" si="2"/>
        <v>23</v>
      </c>
      <c r="J160" s="8"/>
      <c r="K160" s="27"/>
      <c r="L160" s="9">
        <f t="shared" si="4"/>
        <v>42819.99454</v>
      </c>
      <c r="M160" s="27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28"/>
      <c r="B161" s="19">
        <v>42164.0</v>
      </c>
      <c r="C161" s="20">
        <v>23.0</v>
      </c>
      <c r="D161" s="26">
        <v>160.0</v>
      </c>
      <c r="E161" s="34">
        <f t="shared" si="19"/>
        <v>7326.366667</v>
      </c>
      <c r="F161" s="34">
        <f t="shared" si="17"/>
        <v>0.1935483871</v>
      </c>
      <c r="G161" s="35">
        <f t="shared" si="18"/>
        <v>7239.180194</v>
      </c>
      <c r="H161" s="8"/>
      <c r="I161" s="9">
        <f t="shared" si="2"/>
        <v>23</v>
      </c>
      <c r="J161" s="8"/>
      <c r="K161" s="27"/>
      <c r="L161" s="9">
        <f t="shared" si="4"/>
        <v>42819.99454</v>
      </c>
      <c r="M161" s="27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28"/>
      <c r="B162" s="19">
        <v>42165.0</v>
      </c>
      <c r="C162" s="20">
        <v>23.0</v>
      </c>
      <c r="D162" s="26">
        <v>161.0</v>
      </c>
      <c r="E162" s="34">
        <f t="shared" si="19"/>
        <v>7326.366667</v>
      </c>
      <c r="F162" s="34">
        <f t="shared" si="17"/>
        <v>0.1612903226</v>
      </c>
      <c r="G162" s="35">
        <f t="shared" si="18"/>
        <v>7253.711273</v>
      </c>
      <c r="H162" s="8"/>
      <c r="I162" s="9">
        <f t="shared" si="2"/>
        <v>23</v>
      </c>
      <c r="J162" s="8"/>
      <c r="K162" s="27"/>
      <c r="L162" s="9">
        <f t="shared" si="4"/>
        <v>42819.99454</v>
      </c>
      <c r="M162" s="27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28"/>
      <c r="B163" s="19">
        <v>42166.0</v>
      </c>
      <c r="C163" s="20">
        <v>24.0</v>
      </c>
      <c r="D163" s="26">
        <v>162.0</v>
      </c>
      <c r="E163" s="34">
        <f t="shared" si="19"/>
        <v>7326.366667</v>
      </c>
      <c r="F163" s="34">
        <f t="shared" si="17"/>
        <v>0.1290322581</v>
      </c>
      <c r="G163" s="35">
        <f t="shared" si="18"/>
        <v>7268.242352</v>
      </c>
      <c r="H163" s="8"/>
      <c r="I163" s="9">
        <f t="shared" si="2"/>
        <v>24</v>
      </c>
      <c r="J163" s="22">
        <f>SUM(G163:G169)</f>
        <v>51105.51921</v>
      </c>
      <c r="K163" s="24">
        <v>51105.51921</v>
      </c>
      <c r="L163" s="9">
        <f t="shared" si="4"/>
        <v>42819.99454</v>
      </c>
      <c r="M163" s="24">
        <v>42819.99454</v>
      </c>
      <c r="N163" s="25">
        <v>12945.99116</v>
      </c>
      <c r="O163" s="25">
        <v>12340.46691</v>
      </c>
      <c r="P163" s="25">
        <v>2965.825625</v>
      </c>
      <c r="Q163" s="25">
        <v>21519.07223</v>
      </c>
      <c r="R163" s="18"/>
      <c r="S163" s="25">
        <v>11177.35134</v>
      </c>
      <c r="T163" s="25">
        <v>9923.995343</v>
      </c>
      <c r="U163" s="25">
        <v>2509.907301</v>
      </c>
      <c r="V163" s="25">
        <v>18616.77835</v>
      </c>
      <c r="W163" s="25">
        <v>1768.639813</v>
      </c>
      <c r="X163" s="25">
        <v>2416.471566</v>
      </c>
      <c r="Y163" s="25">
        <v>455.9183236</v>
      </c>
      <c r="Z163" s="25">
        <v>2902.293879</v>
      </c>
    </row>
    <row r="164">
      <c r="A164" s="28"/>
      <c r="B164" s="19">
        <v>42167.0</v>
      </c>
      <c r="C164" s="20">
        <v>24.0</v>
      </c>
      <c r="D164" s="26">
        <v>163.0</v>
      </c>
      <c r="E164" s="34">
        <f t="shared" si="19"/>
        <v>7326.366667</v>
      </c>
      <c r="F164" s="34">
        <f t="shared" si="17"/>
        <v>0.09677419355</v>
      </c>
      <c r="G164" s="35">
        <f t="shared" si="18"/>
        <v>7282.77343</v>
      </c>
      <c r="H164" s="8"/>
      <c r="I164" s="9">
        <f t="shared" si="2"/>
        <v>24</v>
      </c>
      <c r="J164" s="8"/>
      <c r="K164" s="27"/>
      <c r="L164" s="9">
        <f t="shared" si="4"/>
        <v>42819.99454</v>
      </c>
      <c r="M164" s="27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28"/>
      <c r="B165" s="19">
        <v>42168.0</v>
      </c>
      <c r="C165" s="20">
        <v>24.0</v>
      </c>
      <c r="D165" s="26">
        <v>164.0</v>
      </c>
      <c r="E165" s="34">
        <f t="shared" si="19"/>
        <v>7326.366667</v>
      </c>
      <c r="F165" s="34">
        <f t="shared" si="17"/>
        <v>0.06451612903</v>
      </c>
      <c r="G165" s="35">
        <f t="shared" si="18"/>
        <v>7297.304509</v>
      </c>
      <c r="H165" s="8"/>
      <c r="I165" s="9">
        <f t="shared" si="2"/>
        <v>24</v>
      </c>
      <c r="J165" s="8"/>
      <c r="K165" s="27"/>
      <c r="L165" s="9">
        <f t="shared" si="4"/>
        <v>42819.99454</v>
      </c>
      <c r="M165" s="27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28"/>
      <c r="B166" s="19">
        <v>42169.0</v>
      </c>
      <c r="C166" s="20">
        <v>24.0</v>
      </c>
      <c r="D166" s="26">
        <v>165.0</v>
      </c>
      <c r="E166" s="34">
        <f t="shared" si="19"/>
        <v>7326.366667</v>
      </c>
      <c r="F166" s="34">
        <f t="shared" si="17"/>
        <v>0.03225806452</v>
      </c>
      <c r="G166" s="35">
        <f t="shared" si="18"/>
        <v>7311.835588</v>
      </c>
      <c r="H166" s="8"/>
      <c r="I166" s="9">
        <f t="shared" si="2"/>
        <v>24</v>
      </c>
      <c r="J166" s="8"/>
      <c r="K166" s="27"/>
      <c r="L166" s="9">
        <f t="shared" si="4"/>
        <v>42819.99454</v>
      </c>
      <c r="M166" s="27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28"/>
      <c r="B167" s="19">
        <v>42170.0</v>
      </c>
      <c r="C167" s="20">
        <v>24.0</v>
      </c>
      <c r="D167" s="26">
        <v>166.0</v>
      </c>
      <c r="E167" s="34">
        <f t="shared" si="19"/>
        <v>7326.366667</v>
      </c>
      <c r="F167" s="34">
        <f t="shared" si="17"/>
        <v>0</v>
      </c>
      <c r="G167" s="35">
        <f t="shared" ref="G167:G197" si="20">E152*F167+(1-F167)*E182</f>
        <v>7326.366667</v>
      </c>
      <c r="H167" s="8"/>
      <c r="I167" s="9">
        <f t="shared" si="2"/>
        <v>24</v>
      </c>
      <c r="J167" s="8"/>
      <c r="K167" s="27"/>
      <c r="L167" s="9">
        <f t="shared" si="4"/>
        <v>42819.99454</v>
      </c>
      <c r="M167" s="27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3"/>
      <c r="B168" s="19">
        <v>42171.0</v>
      </c>
      <c r="C168" s="20">
        <v>24.0</v>
      </c>
      <c r="D168" s="26">
        <v>167.0</v>
      </c>
      <c r="E168" s="34">
        <f t="shared" si="19"/>
        <v>7326.366667</v>
      </c>
      <c r="F168" s="34">
        <f t="shared" ref="F168:F197" si="21">abs((D168-196)/(166-196))</f>
        <v>0.9666666667</v>
      </c>
      <c r="G168" s="35">
        <f t="shared" si="20"/>
        <v>7315.121111</v>
      </c>
      <c r="H168" s="8"/>
      <c r="I168" s="9">
        <f t="shared" si="2"/>
        <v>24</v>
      </c>
      <c r="J168" s="8"/>
      <c r="K168" s="27"/>
      <c r="L168" s="9">
        <f t="shared" si="4"/>
        <v>42819.99454</v>
      </c>
      <c r="M168" s="27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3"/>
      <c r="B169" s="19">
        <v>42172.0</v>
      </c>
      <c r="C169" s="20">
        <v>24.0</v>
      </c>
      <c r="D169" s="26">
        <v>168.0</v>
      </c>
      <c r="E169" s="34">
        <f t="shared" si="19"/>
        <v>7326.366667</v>
      </c>
      <c r="F169" s="34">
        <f t="shared" si="21"/>
        <v>0.9333333333</v>
      </c>
      <c r="G169" s="35">
        <f t="shared" si="20"/>
        <v>7303.875556</v>
      </c>
      <c r="H169" s="8"/>
      <c r="I169" s="9">
        <f t="shared" si="2"/>
        <v>24</v>
      </c>
      <c r="J169" s="8"/>
      <c r="K169" s="27"/>
      <c r="L169" s="9">
        <f t="shared" si="4"/>
        <v>42819.99454</v>
      </c>
      <c r="M169" s="27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28"/>
      <c r="B170" s="19">
        <v>42173.0</v>
      </c>
      <c r="C170" s="20">
        <v>25.0</v>
      </c>
      <c r="D170" s="26">
        <v>169.0</v>
      </c>
      <c r="E170" s="34">
        <f t="shared" si="19"/>
        <v>7326.366667</v>
      </c>
      <c r="F170" s="34">
        <f t="shared" si="21"/>
        <v>0.9</v>
      </c>
      <c r="G170" s="35">
        <f t="shared" si="20"/>
        <v>7292.63</v>
      </c>
      <c r="H170" s="8"/>
      <c r="I170" s="9">
        <f t="shared" si="2"/>
        <v>25</v>
      </c>
      <c r="J170" s="22">
        <f>SUM(G170:G176)</f>
        <v>50812.25333</v>
      </c>
      <c r="K170" s="24">
        <v>50812.25333</v>
      </c>
      <c r="L170" s="9">
        <f t="shared" si="4"/>
        <v>42819.99454</v>
      </c>
      <c r="M170" s="24">
        <v>42819.99454</v>
      </c>
      <c r="N170" s="25">
        <v>13486.84045</v>
      </c>
      <c r="O170" s="25">
        <v>12551.17242</v>
      </c>
      <c r="P170" s="25">
        <v>3153.483512</v>
      </c>
      <c r="Q170" s="25">
        <v>21278.99516</v>
      </c>
      <c r="R170" s="18"/>
      <c r="S170" s="25">
        <v>11133.16019</v>
      </c>
      <c r="T170" s="25">
        <v>10271.24685</v>
      </c>
      <c r="U170" s="25">
        <v>2642.030404</v>
      </c>
      <c r="V170" s="25">
        <v>19188.1048</v>
      </c>
      <c r="W170" s="25">
        <v>2353.680264</v>
      </c>
      <c r="X170" s="25">
        <v>2279.925564</v>
      </c>
      <c r="Y170" s="25">
        <v>511.4531083</v>
      </c>
      <c r="Z170" s="25">
        <v>2090.890366</v>
      </c>
    </row>
    <row r="171">
      <c r="A171" s="28"/>
      <c r="B171" s="19">
        <v>42174.0</v>
      </c>
      <c r="C171" s="20">
        <v>25.0</v>
      </c>
      <c r="D171" s="26">
        <v>170.0</v>
      </c>
      <c r="E171" s="34">
        <f t="shared" si="19"/>
        <v>7326.366667</v>
      </c>
      <c r="F171" s="34">
        <f t="shared" si="21"/>
        <v>0.8666666667</v>
      </c>
      <c r="G171" s="35">
        <f t="shared" si="20"/>
        <v>7281.384444</v>
      </c>
      <c r="H171" s="8"/>
      <c r="I171" s="9">
        <f t="shared" si="2"/>
        <v>25</v>
      </c>
      <c r="J171" s="8"/>
      <c r="K171" s="27"/>
      <c r="L171" s="9">
        <f t="shared" si="4"/>
        <v>42819.99454</v>
      </c>
      <c r="M171" s="27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28"/>
      <c r="B172" s="19">
        <v>42175.0</v>
      </c>
      <c r="C172" s="20">
        <v>25.0</v>
      </c>
      <c r="D172" s="26">
        <v>171.0</v>
      </c>
      <c r="E172" s="34">
        <f t="shared" si="19"/>
        <v>7326.366667</v>
      </c>
      <c r="F172" s="34">
        <f t="shared" si="21"/>
        <v>0.8333333333</v>
      </c>
      <c r="G172" s="35">
        <f t="shared" si="20"/>
        <v>7270.138889</v>
      </c>
      <c r="H172" s="8"/>
      <c r="I172" s="9">
        <f t="shared" si="2"/>
        <v>25</v>
      </c>
      <c r="J172" s="8"/>
      <c r="K172" s="27"/>
      <c r="L172" s="9">
        <f t="shared" si="4"/>
        <v>42819.99454</v>
      </c>
      <c r="M172" s="27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28"/>
      <c r="B173" s="19">
        <v>42176.0</v>
      </c>
      <c r="C173" s="20">
        <v>25.0</v>
      </c>
      <c r="D173" s="26">
        <v>172.0</v>
      </c>
      <c r="E173" s="34">
        <f t="shared" si="19"/>
        <v>7326.366667</v>
      </c>
      <c r="F173" s="34">
        <f t="shared" si="21"/>
        <v>0.8</v>
      </c>
      <c r="G173" s="35">
        <f t="shared" si="20"/>
        <v>7258.893333</v>
      </c>
      <c r="H173" s="8"/>
      <c r="I173" s="9">
        <f t="shared" si="2"/>
        <v>25</v>
      </c>
      <c r="J173" s="8"/>
      <c r="K173" s="27"/>
      <c r="L173" s="9">
        <f t="shared" si="4"/>
        <v>42819.99454</v>
      </c>
      <c r="M173" s="27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28"/>
      <c r="B174" s="19">
        <v>42177.0</v>
      </c>
      <c r="C174" s="20">
        <v>25.0</v>
      </c>
      <c r="D174" s="26">
        <v>173.0</v>
      </c>
      <c r="E174" s="34">
        <f t="shared" si="19"/>
        <v>7326.366667</v>
      </c>
      <c r="F174" s="34">
        <f t="shared" si="21"/>
        <v>0.7666666667</v>
      </c>
      <c r="G174" s="35">
        <f t="shared" si="20"/>
        <v>7247.647778</v>
      </c>
      <c r="H174" s="8"/>
      <c r="I174" s="9">
        <f t="shared" si="2"/>
        <v>25</v>
      </c>
      <c r="J174" s="8"/>
      <c r="K174" s="27"/>
      <c r="L174" s="9">
        <f t="shared" si="4"/>
        <v>42819.99454</v>
      </c>
      <c r="M174" s="27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28"/>
      <c r="B175" s="19">
        <v>42178.0</v>
      </c>
      <c r="C175" s="20">
        <v>25.0</v>
      </c>
      <c r="D175" s="26">
        <v>174.0</v>
      </c>
      <c r="E175" s="34">
        <f t="shared" si="19"/>
        <v>7326.366667</v>
      </c>
      <c r="F175" s="34">
        <f t="shared" si="21"/>
        <v>0.7333333333</v>
      </c>
      <c r="G175" s="35">
        <f t="shared" si="20"/>
        <v>7236.402222</v>
      </c>
      <c r="H175" s="8"/>
      <c r="I175" s="9">
        <f t="shared" si="2"/>
        <v>25</v>
      </c>
      <c r="J175" s="8"/>
      <c r="K175" s="27"/>
      <c r="L175" s="9">
        <f t="shared" si="4"/>
        <v>42819.99454</v>
      </c>
      <c r="M175" s="27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28"/>
      <c r="B176" s="19">
        <v>42179.0</v>
      </c>
      <c r="C176" s="20">
        <v>25.0</v>
      </c>
      <c r="D176" s="26">
        <v>175.0</v>
      </c>
      <c r="E176" s="34">
        <f t="shared" si="19"/>
        <v>7326.366667</v>
      </c>
      <c r="F176" s="34">
        <f t="shared" si="21"/>
        <v>0.7</v>
      </c>
      <c r="G176" s="35">
        <f t="shared" si="20"/>
        <v>7225.156667</v>
      </c>
      <c r="H176" s="8"/>
      <c r="I176" s="9">
        <f t="shared" si="2"/>
        <v>25</v>
      </c>
      <c r="J176" s="8"/>
      <c r="K176" s="27"/>
      <c r="L176" s="9">
        <f t="shared" si="4"/>
        <v>42819.99454</v>
      </c>
      <c r="M176" s="27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28"/>
      <c r="B177" s="19">
        <v>42180.0</v>
      </c>
      <c r="C177" s="20">
        <v>26.0</v>
      </c>
      <c r="D177" s="26">
        <v>176.0</v>
      </c>
      <c r="E177" s="34">
        <f t="shared" si="19"/>
        <v>7326.366667</v>
      </c>
      <c r="F177" s="34">
        <f t="shared" si="21"/>
        <v>0.6666666667</v>
      </c>
      <c r="G177" s="35">
        <f t="shared" si="20"/>
        <v>7213.911111</v>
      </c>
      <c r="H177" s="8"/>
      <c r="I177" s="9">
        <f t="shared" si="2"/>
        <v>26</v>
      </c>
      <c r="J177" s="22">
        <f>SUM(G177:G183)</f>
        <v>50261.22111</v>
      </c>
      <c r="K177" s="24">
        <v>50261.22111</v>
      </c>
      <c r="L177" s="9">
        <f t="shared" si="4"/>
        <v>42819.99454</v>
      </c>
      <c r="M177" s="24">
        <v>42819.99454</v>
      </c>
      <c r="N177" s="25">
        <v>13438.00068</v>
      </c>
      <c r="O177" s="25">
        <v>11924.53811</v>
      </c>
      <c r="P177" s="25">
        <v>3193.5343</v>
      </c>
      <c r="Q177" s="25">
        <v>21763.60142</v>
      </c>
      <c r="R177" s="18"/>
      <c r="S177" s="25">
        <v>11506.45527</v>
      </c>
      <c r="T177" s="25">
        <v>10160.52908</v>
      </c>
      <c r="U177" s="25">
        <v>2533.368443</v>
      </c>
      <c r="V177" s="25">
        <v>19171.1529</v>
      </c>
      <c r="W177" s="25">
        <v>1931.545414</v>
      </c>
      <c r="X177" s="25">
        <v>1764.009027</v>
      </c>
      <c r="Y177" s="25">
        <v>660.1658574</v>
      </c>
      <c r="Z177" s="25">
        <v>2592.448512</v>
      </c>
    </row>
    <row r="178">
      <c r="A178" s="28"/>
      <c r="B178" s="19">
        <v>42181.0</v>
      </c>
      <c r="C178" s="20">
        <v>26.0</v>
      </c>
      <c r="D178" s="26">
        <v>177.0</v>
      </c>
      <c r="E178" s="34">
        <f t="shared" si="19"/>
        <v>7326.366667</v>
      </c>
      <c r="F178" s="34">
        <f t="shared" si="21"/>
        <v>0.6333333333</v>
      </c>
      <c r="G178" s="35">
        <f t="shared" si="20"/>
        <v>7202.665556</v>
      </c>
      <c r="H178" s="8"/>
      <c r="I178" s="9">
        <f t="shared" si="2"/>
        <v>26</v>
      </c>
      <c r="J178" s="8"/>
      <c r="K178" s="27"/>
      <c r="L178" s="9">
        <f t="shared" si="4"/>
        <v>42819.99454</v>
      </c>
      <c r="M178" s="27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28"/>
      <c r="B179" s="19">
        <v>42182.0</v>
      </c>
      <c r="C179" s="20">
        <v>26.0</v>
      </c>
      <c r="D179" s="26">
        <v>178.0</v>
      </c>
      <c r="E179" s="34">
        <f t="shared" si="19"/>
        <v>7326.366667</v>
      </c>
      <c r="F179" s="34">
        <f t="shared" si="21"/>
        <v>0.6</v>
      </c>
      <c r="G179" s="35">
        <f t="shared" si="20"/>
        <v>7191.42</v>
      </c>
      <c r="H179" s="8"/>
      <c r="I179" s="9">
        <f t="shared" si="2"/>
        <v>26</v>
      </c>
      <c r="J179" s="8"/>
      <c r="K179" s="27"/>
      <c r="L179" s="9">
        <f t="shared" si="4"/>
        <v>42819.99454</v>
      </c>
      <c r="M179" s="27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28"/>
      <c r="B180" s="19">
        <v>42183.0</v>
      </c>
      <c r="C180" s="20">
        <v>26.0</v>
      </c>
      <c r="D180" s="26">
        <v>179.0</v>
      </c>
      <c r="E180" s="34">
        <f t="shared" si="19"/>
        <v>7326.366667</v>
      </c>
      <c r="F180" s="34">
        <f t="shared" si="21"/>
        <v>0.5666666667</v>
      </c>
      <c r="G180" s="35">
        <f t="shared" si="20"/>
        <v>7180.174444</v>
      </c>
      <c r="H180" s="8"/>
      <c r="I180" s="9">
        <f t="shared" si="2"/>
        <v>26</v>
      </c>
      <c r="J180" s="8"/>
      <c r="K180" s="27"/>
      <c r="L180" s="9">
        <f t="shared" si="4"/>
        <v>42819.99454</v>
      </c>
      <c r="M180" s="27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28"/>
      <c r="B181" s="19">
        <v>42184.0</v>
      </c>
      <c r="C181" s="20">
        <v>26.0</v>
      </c>
      <c r="D181" s="26">
        <v>180.0</v>
      </c>
      <c r="E181" s="34">
        <f t="shared" si="19"/>
        <v>7326.366667</v>
      </c>
      <c r="F181" s="34">
        <f t="shared" si="21"/>
        <v>0.5333333333</v>
      </c>
      <c r="G181" s="35">
        <f t="shared" si="20"/>
        <v>7168.928889</v>
      </c>
      <c r="H181" s="8"/>
      <c r="I181" s="9">
        <f t="shared" si="2"/>
        <v>26</v>
      </c>
      <c r="J181" s="8"/>
      <c r="K181" s="27"/>
      <c r="L181" s="9">
        <f t="shared" si="4"/>
        <v>42819.99454</v>
      </c>
      <c r="M181" s="27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28"/>
      <c r="B182" s="19">
        <v>42185.0</v>
      </c>
      <c r="C182" s="20">
        <v>26.0</v>
      </c>
      <c r="D182" s="26">
        <v>181.0</v>
      </c>
      <c r="E182" s="34">
        <f t="shared" si="19"/>
        <v>7326.366667</v>
      </c>
      <c r="F182" s="34">
        <f t="shared" si="21"/>
        <v>0.5</v>
      </c>
      <c r="G182" s="35">
        <f t="shared" si="20"/>
        <v>7157.683333</v>
      </c>
      <c r="H182" s="8"/>
      <c r="I182" s="9">
        <f t="shared" si="2"/>
        <v>26</v>
      </c>
      <c r="J182" s="8"/>
      <c r="K182" s="27"/>
      <c r="L182" s="9">
        <f t="shared" si="4"/>
        <v>42819.99454</v>
      </c>
      <c r="M182" s="27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28"/>
      <c r="B183" s="19">
        <v>42186.0</v>
      </c>
      <c r="C183" s="20">
        <v>26.0</v>
      </c>
      <c r="D183" s="26">
        <v>182.0</v>
      </c>
      <c r="E183" s="34">
        <f>A185/31</f>
        <v>6989</v>
      </c>
      <c r="F183" s="34">
        <f t="shared" si="21"/>
        <v>0.4666666667</v>
      </c>
      <c r="G183" s="35">
        <f t="shared" si="20"/>
        <v>7146.437778</v>
      </c>
      <c r="H183" s="8"/>
      <c r="I183" s="9">
        <f t="shared" si="2"/>
        <v>26</v>
      </c>
      <c r="J183" s="8"/>
      <c r="K183" s="27"/>
      <c r="L183" s="9">
        <f t="shared" si="4"/>
        <v>42819.99454</v>
      </c>
      <c r="M183" s="27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3" t="s">
        <v>70</v>
      </c>
      <c r="B184" s="19">
        <v>42187.0</v>
      </c>
      <c r="C184" s="20">
        <v>27.0</v>
      </c>
      <c r="D184" s="26">
        <v>183.0</v>
      </c>
      <c r="E184" s="34">
        <f>A185/31</f>
        <v>6989</v>
      </c>
      <c r="F184" s="34">
        <f t="shared" si="21"/>
        <v>0.4333333333</v>
      </c>
      <c r="G184" s="35">
        <f t="shared" si="20"/>
        <v>7135.192222</v>
      </c>
      <c r="H184" s="8"/>
      <c r="I184" s="9">
        <f t="shared" si="2"/>
        <v>27</v>
      </c>
      <c r="J184" s="22">
        <f>SUM(G184:G190)</f>
        <v>49710.18889</v>
      </c>
      <c r="K184" s="24">
        <v>49710.18889</v>
      </c>
      <c r="L184" s="9">
        <f t="shared" si="4"/>
        <v>42819.99454</v>
      </c>
      <c r="M184" s="24">
        <v>42819.99454</v>
      </c>
      <c r="N184" s="25">
        <v>13049.52668</v>
      </c>
      <c r="O184" s="25">
        <v>12173.20824</v>
      </c>
      <c r="P184" s="25">
        <v>2990.057505</v>
      </c>
      <c r="Q184" s="25">
        <v>20970.55916</v>
      </c>
      <c r="R184" s="18"/>
      <c r="S184" s="25">
        <v>11358.7791</v>
      </c>
      <c r="T184" s="25">
        <v>9870.071098</v>
      </c>
      <c r="U184" s="25">
        <v>2638.214291</v>
      </c>
      <c r="V184" s="25">
        <v>19061.75224</v>
      </c>
      <c r="W184" s="25">
        <v>1690.747573</v>
      </c>
      <c r="X184" s="25">
        <v>2303.137142</v>
      </c>
      <c r="Y184" s="25">
        <v>351.8432146</v>
      </c>
      <c r="Z184" s="25">
        <v>1908.806917</v>
      </c>
    </row>
    <row r="185">
      <c r="A185" s="20">
        <v>216659.0</v>
      </c>
      <c r="B185" s="19">
        <v>42188.0</v>
      </c>
      <c r="C185" s="20">
        <v>27.0</v>
      </c>
      <c r="D185" s="26">
        <v>184.0</v>
      </c>
      <c r="E185" s="34">
        <f t="shared" ref="E185:E213" si="22">E184</f>
        <v>6989</v>
      </c>
      <c r="F185" s="34">
        <f t="shared" si="21"/>
        <v>0.4</v>
      </c>
      <c r="G185" s="35">
        <f t="shared" si="20"/>
        <v>7123.946667</v>
      </c>
      <c r="H185" s="8"/>
      <c r="I185" s="9">
        <f t="shared" si="2"/>
        <v>27</v>
      </c>
      <c r="J185" s="8"/>
      <c r="K185" s="27"/>
      <c r="L185" s="9">
        <f t="shared" si="4"/>
        <v>42819.99454</v>
      </c>
      <c r="M185" s="27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28"/>
      <c r="B186" s="19">
        <v>42189.0</v>
      </c>
      <c r="C186" s="20">
        <v>27.0</v>
      </c>
      <c r="D186" s="26">
        <v>185.0</v>
      </c>
      <c r="E186" s="34">
        <f t="shared" si="22"/>
        <v>6989</v>
      </c>
      <c r="F186" s="34">
        <f t="shared" si="21"/>
        <v>0.3666666667</v>
      </c>
      <c r="G186" s="35">
        <f t="shared" si="20"/>
        <v>7112.701111</v>
      </c>
      <c r="H186" s="8"/>
      <c r="I186" s="9">
        <f t="shared" si="2"/>
        <v>27</v>
      </c>
      <c r="J186" s="8"/>
      <c r="K186" s="27"/>
      <c r="L186" s="9">
        <f t="shared" si="4"/>
        <v>42819.99454</v>
      </c>
      <c r="M186" s="27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28"/>
      <c r="B187" s="19">
        <v>42190.0</v>
      </c>
      <c r="C187" s="20">
        <v>27.0</v>
      </c>
      <c r="D187" s="26">
        <v>186.0</v>
      </c>
      <c r="E187" s="34">
        <f t="shared" si="22"/>
        <v>6989</v>
      </c>
      <c r="F187" s="34">
        <f t="shared" si="21"/>
        <v>0.3333333333</v>
      </c>
      <c r="G187" s="35">
        <f t="shared" si="20"/>
        <v>7101.455556</v>
      </c>
      <c r="H187" s="8"/>
      <c r="I187" s="9">
        <f t="shared" si="2"/>
        <v>27</v>
      </c>
      <c r="J187" s="8"/>
      <c r="K187" s="27"/>
      <c r="L187" s="9">
        <f t="shared" si="4"/>
        <v>42819.99454</v>
      </c>
      <c r="M187" s="27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28"/>
      <c r="B188" s="19">
        <v>42191.0</v>
      </c>
      <c r="C188" s="20">
        <v>27.0</v>
      </c>
      <c r="D188" s="26">
        <v>187.0</v>
      </c>
      <c r="E188" s="34">
        <f t="shared" si="22"/>
        <v>6989</v>
      </c>
      <c r="F188" s="34">
        <f t="shared" si="21"/>
        <v>0.3</v>
      </c>
      <c r="G188" s="35">
        <f t="shared" si="20"/>
        <v>7090.21</v>
      </c>
      <c r="H188" s="8"/>
      <c r="I188" s="9">
        <f t="shared" si="2"/>
        <v>27</v>
      </c>
      <c r="J188" s="8"/>
      <c r="K188" s="27"/>
      <c r="L188" s="9">
        <f t="shared" si="4"/>
        <v>42819.99454</v>
      </c>
      <c r="M188" s="27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28"/>
      <c r="B189" s="19">
        <v>42192.0</v>
      </c>
      <c r="C189" s="20">
        <v>27.0</v>
      </c>
      <c r="D189" s="26">
        <v>188.0</v>
      </c>
      <c r="E189" s="34">
        <f t="shared" si="22"/>
        <v>6989</v>
      </c>
      <c r="F189" s="34">
        <f t="shared" si="21"/>
        <v>0.2666666667</v>
      </c>
      <c r="G189" s="35">
        <f t="shared" si="20"/>
        <v>7078.964444</v>
      </c>
      <c r="H189" s="8"/>
      <c r="I189" s="9">
        <f t="shared" si="2"/>
        <v>27</v>
      </c>
      <c r="J189" s="8"/>
      <c r="K189" s="27"/>
      <c r="L189" s="9">
        <f t="shared" si="4"/>
        <v>42819.99454</v>
      </c>
      <c r="M189" s="27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28"/>
      <c r="B190" s="19">
        <v>42193.0</v>
      </c>
      <c r="C190" s="20">
        <v>27.0</v>
      </c>
      <c r="D190" s="26">
        <v>189.0</v>
      </c>
      <c r="E190" s="34">
        <f t="shared" si="22"/>
        <v>6989</v>
      </c>
      <c r="F190" s="34">
        <f t="shared" si="21"/>
        <v>0.2333333333</v>
      </c>
      <c r="G190" s="35">
        <f t="shared" si="20"/>
        <v>7067.718889</v>
      </c>
      <c r="H190" s="8"/>
      <c r="I190" s="9">
        <f t="shared" si="2"/>
        <v>27</v>
      </c>
      <c r="J190" s="8"/>
      <c r="K190" s="27"/>
      <c r="L190" s="9">
        <f t="shared" si="4"/>
        <v>42819.99454</v>
      </c>
      <c r="M190" s="27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28"/>
      <c r="B191" s="19">
        <v>42194.0</v>
      </c>
      <c r="C191" s="20">
        <v>28.0</v>
      </c>
      <c r="D191" s="26">
        <v>190.0</v>
      </c>
      <c r="E191" s="34">
        <f t="shared" si="22"/>
        <v>6989</v>
      </c>
      <c r="F191" s="34">
        <f t="shared" si="21"/>
        <v>0.2</v>
      </c>
      <c r="G191" s="35">
        <f t="shared" si="20"/>
        <v>7056.473333</v>
      </c>
      <c r="H191" s="8"/>
      <c r="I191" s="9">
        <f t="shared" si="2"/>
        <v>28</v>
      </c>
      <c r="J191" s="22">
        <f>SUM(G191:G197)</f>
        <v>49159.15667</v>
      </c>
      <c r="K191" s="24">
        <v>49159.15667</v>
      </c>
      <c r="L191" s="9">
        <f t="shared" si="4"/>
        <v>42819.99454</v>
      </c>
      <c r="M191" s="24">
        <v>42819.99454</v>
      </c>
      <c r="N191" s="25">
        <v>13674.68322</v>
      </c>
      <c r="O191" s="25">
        <v>11579.99507</v>
      </c>
      <c r="P191" s="25">
        <v>3070.935863</v>
      </c>
      <c r="Q191" s="25">
        <v>20587.78226</v>
      </c>
      <c r="R191" s="18"/>
      <c r="S191" s="25">
        <v>11706.13542</v>
      </c>
      <c r="T191" s="25">
        <v>10335.23244</v>
      </c>
      <c r="U191" s="25">
        <v>2570.821542</v>
      </c>
      <c r="V191" s="25">
        <v>19193.6655</v>
      </c>
      <c r="W191" s="25">
        <v>1968.547805</v>
      </c>
      <c r="X191" s="25">
        <v>1244.762634</v>
      </c>
      <c r="Y191" s="25">
        <v>500.1143205</v>
      </c>
      <c r="Z191" s="25">
        <v>1394.116762</v>
      </c>
    </row>
    <row r="192">
      <c r="A192" s="28"/>
      <c r="B192" s="19">
        <v>42195.0</v>
      </c>
      <c r="C192" s="20">
        <v>28.0</v>
      </c>
      <c r="D192" s="26">
        <v>191.0</v>
      </c>
      <c r="E192" s="34">
        <f t="shared" si="22"/>
        <v>6989</v>
      </c>
      <c r="F192" s="34">
        <f t="shared" si="21"/>
        <v>0.1666666667</v>
      </c>
      <c r="G192" s="35">
        <f t="shared" si="20"/>
        <v>7045.227778</v>
      </c>
      <c r="H192" s="8"/>
      <c r="I192" s="9">
        <f t="shared" si="2"/>
        <v>28</v>
      </c>
      <c r="J192" s="8"/>
      <c r="K192" s="27"/>
      <c r="L192" s="9">
        <f t="shared" si="4"/>
        <v>42819.99454</v>
      </c>
      <c r="M192" s="27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28"/>
      <c r="B193" s="19">
        <v>42196.0</v>
      </c>
      <c r="C193" s="20">
        <v>28.0</v>
      </c>
      <c r="D193" s="26">
        <v>192.0</v>
      </c>
      <c r="E193" s="34">
        <f t="shared" si="22"/>
        <v>6989</v>
      </c>
      <c r="F193" s="34">
        <f t="shared" si="21"/>
        <v>0.1333333333</v>
      </c>
      <c r="G193" s="35">
        <f t="shared" si="20"/>
        <v>7033.982222</v>
      </c>
      <c r="H193" s="8"/>
      <c r="I193" s="9">
        <f t="shared" si="2"/>
        <v>28</v>
      </c>
      <c r="J193" s="8"/>
      <c r="K193" s="27"/>
      <c r="L193" s="9">
        <f t="shared" si="4"/>
        <v>42819.99454</v>
      </c>
      <c r="M193" s="27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28"/>
      <c r="B194" s="19">
        <v>42197.0</v>
      </c>
      <c r="C194" s="20">
        <v>28.0</v>
      </c>
      <c r="D194" s="26">
        <v>193.0</v>
      </c>
      <c r="E194" s="34">
        <f t="shared" si="22"/>
        <v>6989</v>
      </c>
      <c r="F194" s="34">
        <f t="shared" si="21"/>
        <v>0.1</v>
      </c>
      <c r="G194" s="35">
        <f t="shared" si="20"/>
        <v>7022.736667</v>
      </c>
      <c r="H194" s="8"/>
      <c r="I194" s="9">
        <f t="shared" si="2"/>
        <v>28</v>
      </c>
      <c r="J194" s="8"/>
      <c r="K194" s="27"/>
      <c r="L194" s="9">
        <f t="shared" si="4"/>
        <v>42819.99454</v>
      </c>
      <c r="M194" s="27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28"/>
      <c r="B195" s="19">
        <v>42198.0</v>
      </c>
      <c r="C195" s="20">
        <v>28.0</v>
      </c>
      <c r="D195" s="26">
        <v>194.0</v>
      </c>
      <c r="E195" s="34">
        <f t="shared" si="22"/>
        <v>6989</v>
      </c>
      <c r="F195" s="34">
        <f t="shared" si="21"/>
        <v>0.06666666667</v>
      </c>
      <c r="G195" s="35">
        <f t="shared" si="20"/>
        <v>7011.491111</v>
      </c>
      <c r="H195" s="8"/>
      <c r="I195" s="9">
        <f t="shared" si="2"/>
        <v>28</v>
      </c>
      <c r="J195" s="8"/>
      <c r="K195" s="27"/>
      <c r="L195" s="9">
        <f t="shared" si="4"/>
        <v>42819.99454</v>
      </c>
      <c r="M195" s="27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28"/>
      <c r="B196" s="19">
        <v>42199.0</v>
      </c>
      <c r="C196" s="20">
        <v>28.0</v>
      </c>
      <c r="D196" s="26">
        <v>195.0</v>
      </c>
      <c r="E196" s="34">
        <f t="shared" si="22"/>
        <v>6989</v>
      </c>
      <c r="F196" s="34">
        <f t="shared" si="21"/>
        <v>0.03333333333</v>
      </c>
      <c r="G196" s="35">
        <f t="shared" si="20"/>
        <v>7000.245556</v>
      </c>
      <c r="H196" s="8"/>
      <c r="I196" s="9">
        <f t="shared" si="2"/>
        <v>28</v>
      </c>
      <c r="J196" s="8"/>
      <c r="K196" s="27"/>
      <c r="L196" s="9">
        <f t="shared" si="4"/>
        <v>42819.99454</v>
      </c>
      <c r="M196" s="27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28"/>
      <c r="B197" s="19">
        <v>42200.0</v>
      </c>
      <c r="C197" s="20">
        <v>28.0</v>
      </c>
      <c r="D197" s="26">
        <v>196.0</v>
      </c>
      <c r="E197" s="34">
        <f t="shared" si="22"/>
        <v>6989</v>
      </c>
      <c r="F197" s="34">
        <f t="shared" si="21"/>
        <v>0</v>
      </c>
      <c r="G197" s="35">
        <f t="shared" si="20"/>
        <v>6989</v>
      </c>
      <c r="H197" s="8"/>
      <c r="I197" s="9">
        <f t="shared" si="2"/>
        <v>28</v>
      </c>
      <c r="J197" s="8"/>
      <c r="K197" s="27"/>
      <c r="L197" s="9">
        <f t="shared" si="4"/>
        <v>42819.99454</v>
      </c>
      <c r="M197" s="27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3"/>
      <c r="B198" s="19">
        <v>42201.0</v>
      </c>
      <c r="C198" s="20">
        <v>29.0</v>
      </c>
      <c r="D198" s="26">
        <v>197.0</v>
      </c>
      <c r="E198" s="34">
        <f t="shared" si="22"/>
        <v>6989</v>
      </c>
      <c r="F198" s="34">
        <f t="shared" ref="F198:F228" si="23">abs((D198-227)/(227-196))</f>
        <v>0.9677419355</v>
      </c>
      <c r="G198" s="35">
        <f t="shared" ref="G198:G258" si="24">E183*F198+(1-F198)*E214</f>
        <v>6980.719043</v>
      </c>
      <c r="H198" s="8"/>
      <c r="I198" s="9">
        <f t="shared" si="2"/>
        <v>29</v>
      </c>
      <c r="J198" s="22">
        <f>SUM(G198:G204)</f>
        <v>48691.13319</v>
      </c>
      <c r="K198" s="24">
        <v>48691.13319</v>
      </c>
      <c r="L198" s="9">
        <f t="shared" si="4"/>
        <v>42819.99454</v>
      </c>
      <c r="M198" s="24">
        <v>42819.99454</v>
      </c>
      <c r="N198" s="25">
        <v>13102.66698</v>
      </c>
      <c r="O198" s="25">
        <v>11147.05857</v>
      </c>
      <c r="P198" s="25">
        <v>2869.800161</v>
      </c>
      <c r="Q198" s="25">
        <v>21219.33125</v>
      </c>
      <c r="R198" s="18"/>
      <c r="S198" s="25">
        <v>11617.60376</v>
      </c>
      <c r="T198" s="25">
        <v>10621.301</v>
      </c>
      <c r="U198" s="25">
        <v>2617.296866</v>
      </c>
      <c r="V198" s="25">
        <v>19238.52448</v>
      </c>
      <c r="W198" s="25">
        <v>1485.063218</v>
      </c>
      <c r="X198" s="25">
        <v>525.7575655</v>
      </c>
      <c r="Y198" s="25">
        <v>252.5032954</v>
      </c>
      <c r="Z198" s="25">
        <v>1980.806768</v>
      </c>
    </row>
    <row r="199">
      <c r="A199" s="13"/>
      <c r="B199" s="19">
        <v>42202.0</v>
      </c>
      <c r="C199" s="20">
        <v>29.0</v>
      </c>
      <c r="D199" s="26">
        <v>198.0</v>
      </c>
      <c r="E199" s="34">
        <f t="shared" si="22"/>
        <v>6989</v>
      </c>
      <c r="F199" s="34">
        <f t="shared" si="23"/>
        <v>0.935483871</v>
      </c>
      <c r="G199" s="35">
        <f t="shared" si="24"/>
        <v>6972.438085</v>
      </c>
      <c r="H199" s="8"/>
      <c r="I199" s="9">
        <f t="shared" si="2"/>
        <v>29</v>
      </c>
      <c r="J199" s="8"/>
      <c r="K199" s="27"/>
      <c r="L199" s="9">
        <f t="shared" si="4"/>
        <v>42819.99454</v>
      </c>
      <c r="M199" s="27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28"/>
      <c r="B200" s="19">
        <v>42203.0</v>
      </c>
      <c r="C200" s="20">
        <v>29.0</v>
      </c>
      <c r="D200" s="26">
        <v>199.0</v>
      </c>
      <c r="E200" s="34">
        <f t="shared" si="22"/>
        <v>6989</v>
      </c>
      <c r="F200" s="34">
        <f t="shared" si="23"/>
        <v>0.9032258065</v>
      </c>
      <c r="G200" s="35">
        <f t="shared" si="24"/>
        <v>6964.157128</v>
      </c>
      <c r="H200" s="8"/>
      <c r="I200" s="9">
        <f t="shared" si="2"/>
        <v>29</v>
      </c>
      <c r="J200" s="8"/>
      <c r="K200" s="27"/>
      <c r="L200" s="9">
        <f t="shared" si="4"/>
        <v>42819.99454</v>
      </c>
      <c r="M200" s="27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28"/>
      <c r="B201" s="19">
        <v>42204.0</v>
      </c>
      <c r="C201" s="20">
        <v>29.0</v>
      </c>
      <c r="D201" s="26">
        <v>200.0</v>
      </c>
      <c r="E201" s="34">
        <f t="shared" si="22"/>
        <v>6989</v>
      </c>
      <c r="F201" s="34">
        <f t="shared" si="23"/>
        <v>0.8709677419</v>
      </c>
      <c r="G201" s="35">
        <f t="shared" si="24"/>
        <v>6955.876171</v>
      </c>
      <c r="H201" s="8"/>
      <c r="I201" s="9">
        <f t="shared" si="2"/>
        <v>29</v>
      </c>
      <c r="J201" s="8"/>
      <c r="K201" s="27"/>
      <c r="L201" s="9">
        <f t="shared" si="4"/>
        <v>42819.99454</v>
      </c>
      <c r="M201" s="27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28"/>
      <c r="B202" s="19">
        <v>42205.0</v>
      </c>
      <c r="C202" s="20">
        <v>29.0</v>
      </c>
      <c r="D202" s="26">
        <v>201.0</v>
      </c>
      <c r="E202" s="34">
        <f t="shared" si="22"/>
        <v>6989</v>
      </c>
      <c r="F202" s="34">
        <f t="shared" si="23"/>
        <v>0.8387096774</v>
      </c>
      <c r="G202" s="35">
        <f t="shared" si="24"/>
        <v>6947.595213</v>
      </c>
      <c r="H202" s="8"/>
      <c r="I202" s="9">
        <f t="shared" si="2"/>
        <v>29</v>
      </c>
      <c r="J202" s="8"/>
      <c r="K202" s="27"/>
      <c r="L202" s="9">
        <f t="shared" si="4"/>
        <v>42819.99454</v>
      </c>
      <c r="M202" s="27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28"/>
      <c r="B203" s="19">
        <v>42206.0</v>
      </c>
      <c r="C203" s="20">
        <v>29.0</v>
      </c>
      <c r="D203" s="26">
        <v>202.0</v>
      </c>
      <c r="E203" s="34">
        <f t="shared" si="22"/>
        <v>6989</v>
      </c>
      <c r="F203" s="34">
        <f t="shared" si="23"/>
        <v>0.8064516129</v>
      </c>
      <c r="G203" s="35">
        <f t="shared" si="24"/>
        <v>6939.314256</v>
      </c>
      <c r="H203" s="8"/>
      <c r="I203" s="9">
        <f t="shared" si="2"/>
        <v>29</v>
      </c>
      <c r="J203" s="8"/>
      <c r="K203" s="27"/>
      <c r="L203" s="9">
        <f t="shared" si="4"/>
        <v>42819.99454</v>
      </c>
      <c r="M203" s="27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28"/>
      <c r="B204" s="19">
        <v>42207.0</v>
      </c>
      <c r="C204" s="20">
        <v>29.0</v>
      </c>
      <c r="D204" s="26">
        <v>203.0</v>
      </c>
      <c r="E204" s="34">
        <f t="shared" si="22"/>
        <v>6989</v>
      </c>
      <c r="F204" s="34">
        <f t="shared" si="23"/>
        <v>0.7741935484</v>
      </c>
      <c r="G204" s="35">
        <f t="shared" si="24"/>
        <v>6931.033299</v>
      </c>
      <c r="H204" s="8"/>
      <c r="I204" s="9">
        <f t="shared" si="2"/>
        <v>29</v>
      </c>
      <c r="J204" s="8"/>
      <c r="K204" s="27"/>
      <c r="L204" s="9">
        <f t="shared" si="4"/>
        <v>42819.99454</v>
      </c>
      <c r="M204" s="27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28"/>
      <c r="B205" s="19">
        <v>42208.0</v>
      </c>
      <c r="C205" s="20">
        <v>30.0</v>
      </c>
      <c r="D205" s="26">
        <v>204.0</v>
      </c>
      <c r="E205" s="34">
        <f t="shared" si="22"/>
        <v>6989</v>
      </c>
      <c r="F205" s="34">
        <f t="shared" si="23"/>
        <v>0.7419354839</v>
      </c>
      <c r="G205" s="35">
        <f t="shared" si="24"/>
        <v>6922.752341</v>
      </c>
      <c r="H205" s="8"/>
      <c r="I205" s="9">
        <f t="shared" si="2"/>
        <v>30</v>
      </c>
      <c r="J205" s="22">
        <f>SUM(G205:G211)</f>
        <v>48285.36629</v>
      </c>
      <c r="K205" s="24">
        <v>48285.36629</v>
      </c>
      <c r="L205" s="9">
        <f t="shared" si="4"/>
        <v>42819.99454</v>
      </c>
      <c r="M205" s="24">
        <v>42819.99454</v>
      </c>
      <c r="N205" s="25">
        <v>13268.69951</v>
      </c>
      <c r="O205" s="25">
        <v>11867.37344</v>
      </c>
      <c r="P205" s="25">
        <v>2876.91398</v>
      </c>
      <c r="Q205" s="25">
        <v>21657.26413</v>
      </c>
      <c r="R205" s="18"/>
      <c r="S205" s="25">
        <v>11332.19483</v>
      </c>
      <c r="T205" s="25">
        <v>10501.37952</v>
      </c>
      <c r="U205" s="25">
        <v>2502.033355</v>
      </c>
      <c r="V205" s="25">
        <v>19315.83015</v>
      </c>
      <c r="W205" s="25">
        <v>1936.504685</v>
      </c>
      <c r="X205" s="25">
        <v>1365.993915</v>
      </c>
      <c r="Y205" s="25">
        <v>374.8806245</v>
      </c>
      <c r="Z205" s="25">
        <v>2341.433974</v>
      </c>
    </row>
    <row r="206">
      <c r="A206" s="28"/>
      <c r="B206" s="19">
        <v>42209.0</v>
      </c>
      <c r="C206" s="20">
        <v>30.0</v>
      </c>
      <c r="D206" s="26">
        <v>205.0</v>
      </c>
      <c r="E206" s="34">
        <f t="shared" si="22"/>
        <v>6989</v>
      </c>
      <c r="F206" s="34">
        <f t="shared" si="23"/>
        <v>0.7096774194</v>
      </c>
      <c r="G206" s="35">
        <f t="shared" si="24"/>
        <v>6914.471384</v>
      </c>
      <c r="H206" s="8"/>
      <c r="I206" s="9">
        <f t="shared" si="2"/>
        <v>30</v>
      </c>
      <c r="J206" s="8"/>
      <c r="K206" s="27"/>
      <c r="L206" s="9">
        <f t="shared" si="4"/>
        <v>42819.99454</v>
      </c>
      <c r="M206" s="27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28"/>
      <c r="B207" s="19">
        <v>42210.0</v>
      </c>
      <c r="C207" s="20">
        <v>30.0</v>
      </c>
      <c r="D207" s="26">
        <v>206.0</v>
      </c>
      <c r="E207" s="34">
        <f t="shared" si="22"/>
        <v>6989</v>
      </c>
      <c r="F207" s="34">
        <f t="shared" si="23"/>
        <v>0.6774193548</v>
      </c>
      <c r="G207" s="35">
        <f t="shared" si="24"/>
        <v>6906.190427</v>
      </c>
      <c r="H207" s="8"/>
      <c r="I207" s="9">
        <f t="shared" si="2"/>
        <v>30</v>
      </c>
      <c r="J207" s="8"/>
      <c r="K207" s="27"/>
      <c r="L207" s="9">
        <f t="shared" si="4"/>
        <v>42819.99454</v>
      </c>
      <c r="M207" s="27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28"/>
      <c r="B208" s="19">
        <v>42211.0</v>
      </c>
      <c r="C208" s="20">
        <v>30.0</v>
      </c>
      <c r="D208" s="26">
        <v>207.0</v>
      </c>
      <c r="E208" s="34">
        <f t="shared" si="22"/>
        <v>6989</v>
      </c>
      <c r="F208" s="34">
        <f t="shared" si="23"/>
        <v>0.6451612903</v>
      </c>
      <c r="G208" s="35">
        <f t="shared" si="24"/>
        <v>6897.909469</v>
      </c>
      <c r="H208" s="8"/>
      <c r="I208" s="9">
        <f t="shared" si="2"/>
        <v>30</v>
      </c>
      <c r="J208" s="8"/>
      <c r="K208" s="27"/>
      <c r="L208" s="9">
        <f t="shared" si="4"/>
        <v>42819.99454</v>
      </c>
      <c r="M208" s="27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28"/>
      <c r="B209" s="19">
        <v>42212.0</v>
      </c>
      <c r="C209" s="20">
        <v>30.0</v>
      </c>
      <c r="D209" s="26">
        <v>208.0</v>
      </c>
      <c r="E209" s="34">
        <f t="shared" si="22"/>
        <v>6989</v>
      </c>
      <c r="F209" s="34">
        <f t="shared" si="23"/>
        <v>0.6129032258</v>
      </c>
      <c r="G209" s="35">
        <f t="shared" si="24"/>
        <v>6889.628512</v>
      </c>
      <c r="H209" s="8"/>
      <c r="I209" s="9">
        <f t="shared" si="2"/>
        <v>30</v>
      </c>
      <c r="J209" s="8"/>
      <c r="K209" s="27"/>
      <c r="L209" s="9">
        <f t="shared" si="4"/>
        <v>42819.99454</v>
      </c>
      <c r="M209" s="27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28"/>
      <c r="B210" s="19">
        <v>42213.0</v>
      </c>
      <c r="C210" s="20">
        <v>30.0</v>
      </c>
      <c r="D210" s="26">
        <v>209.0</v>
      </c>
      <c r="E210" s="34">
        <f t="shared" si="22"/>
        <v>6989</v>
      </c>
      <c r="F210" s="34">
        <f t="shared" si="23"/>
        <v>0.5806451613</v>
      </c>
      <c r="G210" s="35">
        <f t="shared" si="24"/>
        <v>6881.347555</v>
      </c>
      <c r="H210" s="8"/>
      <c r="I210" s="9">
        <f t="shared" si="2"/>
        <v>30</v>
      </c>
      <c r="J210" s="8"/>
      <c r="K210" s="27"/>
      <c r="L210" s="9">
        <f t="shared" si="4"/>
        <v>42819.99454</v>
      </c>
      <c r="M210" s="27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28"/>
      <c r="B211" s="19">
        <v>42214.0</v>
      </c>
      <c r="C211" s="20">
        <v>30.0</v>
      </c>
      <c r="D211" s="26">
        <v>210.0</v>
      </c>
      <c r="E211" s="34">
        <f t="shared" si="22"/>
        <v>6989</v>
      </c>
      <c r="F211" s="34">
        <f t="shared" si="23"/>
        <v>0.5483870968</v>
      </c>
      <c r="G211" s="35">
        <f t="shared" si="24"/>
        <v>6873.066597</v>
      </c>
      <c r="H211" s="8"/>
      <c r="I211" s="9">
        <f t="shared" si="2"/>
        <v>30</v>
      </c>
      <c r="J211" s="8"/>
      <c r="K211" s="27"/>
      <c r="L211" s="9">
        <f t="shared" si="4"/>
        <v>42819.99454</v>
      </c>
      <c r="M211" s="27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28"/>
      <c r="B212" s="19">
        <v>42215.0</v>
      </c>
      <c r="C212" s="20">
        <v>31.0</v>
      </c>
      <c r="D212" s="26">
        <v>211.0</v>
      </c>
      <c r="E212" s="34">
        <f t="shared" si="22"/>
        <v>6989</v>
      </c>
      <c r="F212" s="34">
        <f t="shared" si="23"/>
        <v>0.5161290323</v>
      </c>
      <c r="G212" s="35">
        <f t="shared" si="24"/>
        <v>6864.78564</v>
      </c>
      <c r="H212" s="8"/>
      <c r="I212" s="9">
        <f t="shared" si="2"/>
        <v>31</v>
      </c>
      <c r="J212" s="22">
        <f>SUM(G212:G218)</f>
        <v>47879.59938</v>
      </c>
      <c r="K212" s="24">
        <v>47879.59938</v>
      </c>
      <c r="L212" s="9">
        <f t="shared" si="4"/>
        <v>42819.99454</v>
      </c>
      <c r="M212" s="24">
        <v>42819.99454</v>
      </c>
      <c r="N212" s="25">
        <v>12447.95578</v>
      </c>
      <c r="O212" s="25">
        <v>11386.98049</v>
      </c>
      <c r="P212" s="25">
        <v>3018.059375</v>
      </c>
      <c r="Q212" s="25">
        <v>20952.86851</v>
      </c>
      <c r="R212" s="18"/>
      <c r="S212" s="25">
        <v>11536.97337</v>
      </c>
      <c r="T212" s="25">
        <v>10381.48219</v>
      </c>
      <c r="U212" s="25">
        <v>2601.536031</v>
      </c>
      <c r="V212" s="25">
        <v>18464.05612</v>
      </c>
      <c r="W212" s="25">
        <v>910.9824078</v>
      </c>
      <c r="X212" s="25">
        <v>1005.498295</v>
      </c>
      <c r="Y212" s="25">
        <v>416.5233438</v>
      </c>
      <c r="Z212" s="25">
        <v>2488.812393</v>
      </c>
    </row>
    <row r="213">
      <c r="A213" s="28"/>
      <c r="B213" s="19">
        <v>42216.0</v>
      </c>
      <c r="C213" s="20">
        <v>31.0</v>
      </c>
      <c r="D213" s="26">
        <v>212.0</v>
      </c>
      <c r="E213" s="34">
        <f t="shared" si="22"/>
        <v>6989</v>
      </c>
      <c r="F213" s="34">
        <f t="shared" si="23"/>
        <v>0.4838709677</v>
      </c>
      <c r="G213" s="35">
        <f t="shared" si="24"/>
        <v>6856.504683</v>
      </c>
      <c r="H213" s="8"/>
      <c r="I213" s="9">
        <f t="shared" si="2"/>
        <v>31</v>
      </c>
      <c r="J213" s="8"/>
      <c r="K213" s="27"/>
      <c r="L213" s="9">
        <f t="shared" si="4"/>
        <v>42819.99454</v>
      </c>
      <c r="M213" s="27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28"/>
      <c r="B214" s="19">
        <v>42217.0</v>
      </c>
      <c r="C214" s="20">
        <v>31.0</v>
      </c>
      <c r="D214" s="26">
        <v>213.0</v>
      </c>
      <c r="E214" s="34">
        <f>A216/31</f>
        <v>6732.290323</v>
      </c>
      <c r="F214" s="34">
        <f t="shared" si="23"/>
        <v>0.4516129032</v>
      </c>
      <c r="G214" s="35">
        <f t="shared" si="24"/>
        <v>6848.223725</v>
      </c>
      <c r="H214" s="8"/>
      <c r="I214" s="9">
        <f t="shared" si="2"/>
        <v>31</v>
      </c>
      <c r="J214" s="8"/>
      <c r="K214" s="27"/>
      <c r="L214" s="9">
        <f t="shared" si="4"/>
        <v>42819.99454</v>
      </c>
      <c r="M214" s="27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3" t="s">
        <v>71</v>
      </c>
      <c r="B215" s="19">
        <v>42218.0</v>
      </c>
      <c r="C215" s="20">
        <v>31.0</v>
      </c>
      <c r="D215" s="26">
        <v>214.0</v>
      </c>
      <c r="E215" s="34">
        <f>A216/31</f>
        <v>6732.290323</v>
      </c>
      <c r="F215" s="34">
        <f t="shared" si="23"/>
        <v>0.4193548387</v>
      </c>
      <c r="G215" s="35">
        <f t="shared" si="24"/>
        <v>6839.942768</v>
      </c>
      <c r="H215" s="8"/>
      <c r="I215" s="9">
        <f t="shared" si="2"/>
        <v>31</v>
      </c>
      <c r="J215" s="8"/>
      <c r="K215" s="27"/>
      <c r="L215" s="9">
        <f t="shared" si="4"/>
        <v>42819.99454</v>
      </c>
      <c r="M215" s="27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20">
        <v>208701.0</v>
      </c>
      <c r="B216" s="19">
        <v>42219.0</v>
      </c>
      <c r="C216" s="20">
        <v>31.0</v>
      </c>
      <c r="D216" s="26">
        <v>215.0</v>
      </c>
      <c r="E216" s="34">
        <f t="shared" ref="E216:E244" si="25">E215</f>
        <v>6732.290323</v>
      </c>
      <c r="F216" s="34">
        <f t="shared" si="23"/>
        <v>0.3870967742</v>
      </c>
      <c r="G216" s="35">
        <f t="shared" si="24"/>
        <v>6831.661811</v>
      </c>
      <c r="H216" s="8"/>
      <c r="I216" s="9">
        <f t="shared" si="2"/>
        <v>31</v>
      </c>
      <c r="J216" s="8"/>
      <c r="K216" s="27"/>
      <c r="L216" s="9">
        <f t="shared" si="4"/>
        <v>42819.99454</v>
      </c>
      <c r="M216" s="27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28"/>
      <c r="B217" s="19">
        <v>42220.0</v>
      </c>
      <c r="C217" s="20">
        <v>31.0</v>
      </c>
      <c r="D217" s="26">
        <v>216.0</v>
      </c>
      <c r="E217" s="34">
        <f t="shared" si="25"/>
        <v>6732.290323</v>
      </c>
      <c r="F217" s="34">
        <f t="shared" si="23"/>
        <v>0.3548387097</v>
      </c>
      <c r="G217" s="35">
        <f t="shared" si="24"/>
        <v>6823.380853</v>
      </c>
      <c r="H217" s="8"/>
      <c r="I217" s="9">
        <f t="shared" si="2"/>
        <v>31</v>
      </c>
      <c r="J217" s="8"/>
      <c r="K217" s="27"/>
      <c r="L217" s="9">
        <f t="shared" si="4"/>
        <v>42819.99454</v>
      </c>
      <c r="M217" s="27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28"/>
      <c r="B218" s="19">
        <v>42221.0</v>
      </c>
      <c r="C218" s="20">
        <v>31.0</v>
      </c>
      <c r="D218" s="26">
        <v>217.0</v>
      </c>
      <c r="E218" s="34">
        <f t="shared" si="25"/>
        <v>6732.290323</v>
      </c>
      <c r="F218" s="34">
        <f t="shared" si="23"/>
        <v>0.3225806452</v>
      </c>
      <c r="G218" s="35">
        <f t="shared" si="24"/>
        <v>6815.099896</v>
      </c>
      <c r="H218" s="8"/>
      <c r="I218" s="9">
        <f t="shared" si="2"/>
        <v>31</v>
      </c>
      <c r="J218" s="8"/>
      <c r="K218" s="27"/>
      <c r="L218" s="9">
        <f t="shared" si="4"/>
        <v>42819.99454</v>
      </c>
      <c r="M218" s="27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28"/>
      <c r="B219" s="19">
        <v>42222.0</v>
      </c>
      <c r="C219" s="20">
        <v>32.0</v>
      </c>
      <c r="D219" s="26">
        <v>218.0</v>
      </c>
      <c r="E219" s="34">
        <f t="shared" si="25"/>
        <v>6732.290323</v>
      </c>
      <c r="F219" s="34">
        <f t="shared" si="23"/>
        <v>0.2903225806</v>
      </c>
      <c r="G219" s="35">
        <f t="shared" si="24"/>
        <v>6806.818939</v>
      </c>
      <c r="H219" s="8"/>
      <c r="I219" s="9">
        <f t="shared" si="2"/>
        <v>32</v>
      </c>
      <c r="J219" s="22">
        <f>SUM(G219:G225)</f>
        <v>47473.83247</v>
      </c>
      <c r="K219" s="24">
        <v>47473.83247</v>
      </c>
      <c r="L219" s="9">
        <f t="shared" si="4"/>
        <v>42819.99454</v>
      </c>
      <c r="M219" s="24">
        <v>42819.99454</v>
      </c>
      <c r="N219" s="25">
        <v>12919.80194</v>
      </c>
      <c r="O219" s="25">
        <v>11704.00584</v>
      </c>
      <c r="P219" s="25">
        <v>2735.140737</v>
      </c>
      <c r="Q219" s="25">
        <v>21224.80279</v>
      </c>
      <c r="R219" s="18"/>
      <c r="S219" s="25">
        <v>10975.56998</v>
      </c>
      <c r="T219" s="25">
        <v>9755.832588</v>
      </c>
      <c r="U219" s="25">
        <v>2611.051125</v>
      </c>
      <c r="V219" s="25">
        <v>18940.31375</v>
      </c>
      <c r="W219" s="25">
        <v>1944.231963</v>
      </c>
      <c r="X219" s="25">
        <v>1948.173255</v>
      </c>
      <c r="Y219" s="25">
        <v>124.0896115</v>
      </c>
      <c r="Z219" s="25">
        <v>2284.489038</v>
      </c>
    </row>
    <row r="220">
      <c r="A220" s="28"/>
      <c r="B220" s="19">
        <v>42223.0</v>
      </c>
      <c r="C220" s="20">
        <v>32.0</v>
      </c>
      <c r="D220" s="26">
        <v>219.0</v>
      </c>
      <c r="E220" s="34">
        <f t="shared" si="25"/>
        <v>6732.290323</v>
      </c>
      <c r="F220" s="34">
        <f t="shared" si="23"/>
        <v>0.2580645161</v>
      </c>
      <c r="G220" s="35">
        <f t="shared" si="24"/>
        <v>6798.537981</v>
      </c>
      <c r="H220" s="8"/>
      <c r="I220" s="9">
        <f t="shared" si="2"/>
        <v>32</v>
      </c>
      <c r="J220" s="8"/>
      <c r="K220" s="27"/>
      <c r="L220" s="9">
        <f t="shared" si="4"/>
        <v>42819.99454</v>
      </c>
      <c r="M220" s="27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28"/>
      <c r="B221" s="19">
        <v>42224.0</v>
      </c>
      <c r="C221" s="20">
        <v>32.0</v>
      </c>
      <c r="D221" s="26">
        <v>220.0</v>
      </c>
      <c r="E221" s="34">
        <f t="shared" si="25"/>
        <v>6732.290323</v>
      </c>
      <c r="F221" s="34">
        <f t="shared" si="23"/>
        <v>0.2258064516</v>
      </c>
      <c r="G221" s="35">
        <f t="shared" si="24"/>
        <v>6790.257024</v>
      </c>
      <c r="H221" s="8"/>
      <c r="I221" s="9">
        <f t="shared" si="2"/>
        <v>32</v>
      </c>
      <c r="J221" s="8"/>
      <c r="K221" s="27"/>
      <c r="L221" s="9">
        <f t="shared" si="4"/>
        <v>42819.99454</v>
      </c>
      <c r="M221" s="27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28"/>
      <c r="B222" s="19">
        <v>42225.0</v>
      </c>
      <c r="C222" s="20">
        <v>32.0</v>
      </c>
      <c r="D222" s="26">
        <v>221.0</v>
      </c>
      <c r="E222" s="34">
        <f t="shared" si="25"/>
        <v>6732.290323</v>
      </c>
      <c r="F222" s="34">
        <f t="shared" si="23"/>
        <v>0.1935483871</v>
      </c>
      <c r="G222" s="35">
        <f t="shared" si="24"/>
        <v>6781.976067</v>
      </c>
      <c r="H222" s="8"/>
      <c r="I222" s="9">
        <f t="shared" si="2"/>
        <v>32</v>
      </c>
      <c r="J222" s="8"/>
      <c r="K222" s="27"/>
      <c r="L222" s="9">
        <f t="shared" si="4"/>
        <v>42819.99454</v>
      </c>
      <c r="M222" s="27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28"/>
      <c r="B223" s="19">
        <v>42226.0</v>
      </c>
      <c r="C223" s="20">
        <v>32.0</v>
      </c>
      <c r="D223" s="26">
        <v>222.0</v>
      </c>
      <c r="E223" s="34">
        <f t="shared" si="25"/>
        <v>6732.290323</v>
      </c>
      <c r="F223" s="34">
        <f t="shared" si="23"/>
        <v>0.1612903226</v>
      </c>
      <c r="G223" s="35">
        <f t="shared" si="24"/>
        <v>6773.695109</v>
      </c>
      <c r="H223" s="8"/>
      <c r="I223" s="9">
        <f t="shared" si="2"/>
        <v>32</v>
      </c>
      <c r="J223" s="8"/>
      <c r="K223" s="27"/>
      <c r="L223" s="9">
        <f t="shared" si="4"/>
        <v>42819.99454</v>
      </c>
      <c r="M223" s="27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28"/>
      <c r="B224" s="19">
        <v>42227.0</v>
      </c>
      <c r="C224" s="20">
        <v>32.0</v>
      </c>
      <c r="D224" s="26">
        <v>223.0</v>
      </c>
      <c r="E224" s="34">
        <f t="shared" si="25"/>
        <v>6732.290323</v>
      </c>
      <c r="F224" s="34">
        <f t="shared" si="23"/>
        <v>0.1290322581</v>
      </c>
      <c r="G224" s="35">
        <f t="shared" si="24"/>
        <v>6765.414152</v>
      </c>
      <c r="H224" s="8"/>
      <c r="I224" s="9">
        <f t="shared" si="2"/>
        <v>32</v>
      </c>
      <c r="J224" s="8"/>
      <c r="K224" s="27"/>
      <c r="L224" s="9">
        <f t="shared" si="4"/>
        <v>42819.99454</v>
      </c>
      <c r="M224" s="27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28"/>
      <c r="B225" s="19">
        <v>42228.0</v>
      </c>
      <c r="C225" s="20">
        <v>32.0</v>
      </c>
      <c r="D225" s="26">
        <v>224.0</v>
      </c>
      <c r="E225" s="34">
        <f t="shared" si="25"/>
        <v>6732.290323</v>
      </c>
      <c r="F225" s="34">
        <f t="shared" si="23"/>
        <v>0.09677419355</v>
      </c>
      <c r="G225" s="35">
        <f t="shared" si="24"/>
        <v>6757.133195</v>
      </c>
      <c r="H225" s="8"/>
      <c r="I225" s="9">
        <f t="shared" si="2"/>
        <v>32</v>
      </c>
      <c r="J225" s="8"/>
      <c r="K225" s="27"/>
      <c r="L225" s="9">
        <f t="shared" si="4"/>
        <v>42819.99454</v>
      </c>
      <c r="M225" s="27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28"/>
      <c r="B226" s="19">
        <v>42229.0</v>
      </c>
      <c r="C226" s="20">
        <v>33.0</v>
      </c>
      <c r="D226" s="26">
        <v>225.0</v>
      </c>
      <c r="E226" s="34">
        <f t="shared" si="25"/>
        <v>6732.290323</v>
      </c>
      <c r="F226" s="34">
        <f t="shared" si="23"/>
        <v>0.06451612903</v>
      </c>
      <c r="G226" s="35">
        <f t="shared" si="24"/>
        <v>6748.852237</v>
      </c>
      <c r="H226" s="8"/>
      <c r="I226" s="9">
        <f t="shared" si="2"/>
        <v>33</v>
      </c>
      <c r="J226" s="22">
        <f>SUM(G226:G232)</f>
        <v>47161.39438</v>
      </c>
      <c r="K226" s="24">
        <v>47161.39438</v>
      </c>
      <c r="L226" s="9">
        <f t="shared" si="4"/>
        <v>42819.99454</v>
      </c>
      <c r="M226" s="24">
        <v>42819.99454</v>
      </c>
      <c r="N226" s="25">
        <v>12658.23056</v>
      </c>
      <c r="O226" s="25">
        <v>11136.12602</v>
      </c>
      <c r="P226" s="25">
        <v>2961.472471</v>
      </c>
      <c r="Q226" s="25">
        <v>21440.76124</v>
      </c>
      <c r="R226" s="18"/>
      <c r="S226" s="25">
        <v>11498.28374</v>
      </c>
      <c r="T226" s="25">
        <v>10612.62419</v>
      </c>
      <c r="U226" s="25">
        <v>2569.10669</v>
      </c>
      <c r="V226" s="25">
        <v>19459.27249</v>
      </c>
      <c r="W226" s="25">
        <v>1159.946819</v>
      </c>
      <c r="X226" s="25">
        <v>523.5018295</v>
      </c>
      <c r="Y226" s="25">
        <v>392.3657807</v>
      </c>
      <c r="Z226" s="25">
        <v>1981.48875</v>
      </c>
    </row>
    <row r="227">
      <c r="A227" s="28"/>
      <c r="B227" s="19">
        <v>42230.0</v>
      </c>
      <c r="C227" s="20">
        <v>33.0</v>
      </c>
      <c r="D227" s="26">
        <v>226.0</v>
      </c>
      <c r="E227" s="34">
        <f t="shared" si="25"/>
        <v>6732.290323</v>
      </c>
      <c r="F227" s="34">
        <f t="shared" si="23"/>
        <v>0.03225806452</v>
      </c>
      <c r="G227" s="35">
        <f t="shared" si="24"/>
        <v>6740.57128</v>
      </c>
      <c r="H227" s="8"/>
      <c r="I227" s="9">
        <f t="shared" si="2"/>
        <v>33</v>
      </c>
      <c r="J227" s="8"/>
      <c r="K227" s="27"/>
      <c r="L227" s="9">
        <f t="shared" si="4"/>
        <v>42819.99454</v>
      </c>
      <c r="M227" s="27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28"/>
      <c r="B228" s="19">
        <v>42231.0</v>
      </c>
      <c r="C228" s="20">
        <v>33.0</v>
      </c>
      <c r="D228" s="26">
        <v>227.0</v>
      </c>
      <c r="E228" s="34">
        <f t="shared" si="25"/>
        <v>6732.290323</v>
      </c>
      <c r="F228" s="34">
        <f t="shared" si="23"/>
        <v>0</v>
      </c>
      <c r="G228" s="35">
        <f t="shared" si="24"/>
        <v>6732.290323</v>
      </c>
      <c r="H228" s="8"/>
      <c r="I228" s="9">
        <f t="shared" si="2"/>
        <v>33</v>
      </c>
      <c r="J228" s="8"/>
      <c r="K228" s="27"/>
      <c r="L228" s="9">
        <f t="shared" si="4"/>
        <v>42819.99454</v>
      </c>
      <c r="M228" s="27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3"/>
      <c r="B229" s="19">
        <v>42232.0</v>
      </c>
      <c r="C229" s="20">
        <v>33.0</v>
      </c>
      <c r="D229" s="26">
        <v>228.0</v>
      </c>
      <c r="E229" s="34">
        <f t="shared" si="25"/>
        <v>6732.290323</v>
      </c>
      <c r="F229" s="34">
        <f t="shared" ref="F229:F259" si="26">abs((D229-258)/(258-227))</f>
        <v>0.9677419355</v>
      </c>
      <c r="G229" s="35">
        <f t="shared" si="24"/>
        <v>6733.342248</v>
      </c>
      <c r="H229" s="8"/>
      <c r="I229" s="9">
        <f t="shared" si="2"/>
        <v>33</v>
      </c>
      <c r="J229" s="8"/>
      <c r="K229" s="27"/>
      <c r="L229" s="9">
        <f t="shared" si="4"/>
        <v>42819.99454</v>
      </c>
      <c r="M229" s="27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3"/>
      <c r="B230" s="19">
        <v>42233.0</v>
      </c>
      <c r="C230" s="20">
        <v>33.0</v>
      </c>
      <c r="D230" s="26">
        <v>229.0</v>
      </c>
      <c r="E230" s="34">
        <f t="shared" si="25"/>
        <v>6732.290323</v>
      </c>
      <c r="F230" s="34">
        <f t="shared" si="26"/>
        <v>0.935483871</v>
      </c>
      <c r="G230" s="35">
        <f t="shared" si="24"/>
        <v>6734.394173</v>
      </c>
      <c r="H230" s="8"/>
      <c r="I230" s="9">
        <f t="shared" si="2"/>
        <v>33</v>
      </c>
      <c r="J230" s="8"/>
      <c r="K230" s="27"/>
      <c r="L230" s="9">
        <f t="shared" si="4"/>
        <v>42819.99454</v>
      </c>
      <c r="M230" s="27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28"/>
      <c r="B231" s="19">
        <v>42234.0</v>
      </c>
      <c r="C231" s="20">
        <v>33.0</v>
      </c>
      <c r="D231" s="26">
        <v>230.0</v>
      </c>
      <c r="E231" s="34">
        <f t="shared" si="25"/>
        <v>6732.290323</v>
      </c>
      <c r="F231" s="34">
        <f t="shared" si="26"/>
        <v>0.9032258065</v>
      </c>
      <c r="G231" s="35">
        <f t="shared" si="24"/>
        <v>6735.446098</v>
      </c>
      <c r="H231" s="8"/>
      <c r="I231" s="9">
        <f t="shared" si="2"/>
        <v>33</v>
      </c>
      <c r="J231" s="8"/>
      <c r="K231" s="27"/>
      <c r="L231" s="9">
        <f t="shared" si="4"/>
        <v>42819.99454</v>
      </c>
      <c r="M231" s="27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28"/>
      <c r="B232" s="19">
        <v>42235.0</v>
      </c>
      <c r="C232" s="20">
        <v>33.0</v>
      </c>
      <c r="D232" s="26">
        <v>231.0</v>
      </c>
      <c r="E232" s="34">
        <f t="shared" si="25"/>
        <v>6732.290323</v>
      </c>
      <c r="F232" s="34">
        <f t="shared" si="26"/>
        <v>0.8709677419</v>
      </c>
      <c r="G232" s="35">
        <f t="shared" si="24"/>
        <v>6736.498023</v>
      </c>
      <c r="H232" s="8"/>
      <c r="I232" s="9">
        <f t="shared" si="2"/>
        <v>33</v>
      </c>
      <c r="J232" s="8"/>
      <c r="K232" s="27"/>
      <c r="L232" s="9">
        <f t="shared" si="4"/>
        <v>42819.99454</v>
      </c>
      <c r="M232" s="27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28"/>
      <c r="B233" s="19">
        <v>42236.0</v>
      </c>
      <c r="C233" s="20">
        <v>34.0</v>
      </c>
      <c r="D233" s="26">
        <v>232.0</v>
      </c>
      <c r="E233" s="34">
        <f t="shared" si="25"/>
        <v>6732.290323</v>
      </c>
      <c r="F233" s="34">
        <f t="shared" si="26"/>
        <v>0.8387096774</v>
      </c>
      <c r="G233" s="35">
        <f t="shared" si="24"/>
        <v>6737.549948</v>
      </c>
      <c r="H233" s="8"/>
      <c r="I233" s="9">
        <f t="shared" si="2"/>
        <v>34</v>
      </c>
      <c r="J233" s="22">
        <f>SUM(G233:G239)</f>
        <v>47184.94006</v>
      </c>
      <c r="K233" s="24">
        <v>47184.94006</v>
      </c>
      <c r="L233" s="9">
        <f t="shared" si="4"/>
        <v>42819.99454</v>
      </c>
      <c r="M233" s="24">
        <v>42819.99454</v>
      </c>
      <c r="N233" s="25">
        <v>12787.02316</v>
      </c>
      <c r="O233" s="25">
        <v>11031.84772</v>
      </c>
      <c r="P233" s="25">
        <v>2868.002739</v>
      </c>
      <c r="Q233" s="25">
        <v>20972.70596</v>
      </c>
      <c r="R233" s="18"/>
      <c r="S233" s="25">
        <v>11183.35507</v>
      </c>
      <c r="T233" s="25">
        <v>9809.449714</v>
      </c>
      <c r="U233" s="25">
        <v>2490.875715</v>
      </c>
      <c r="V233" s="25">
        <v>19428.43583</v>
      </c>
      <c r="W233" s="25">
        <v>1603.668088</v>
      </c>
      <c r="X233" s="25">
        <v>1222.398001</v>
      </c>
      <c r="Y233" s="25">
        <v>377.1270235</v>
      </c>
      <c r="Z233" s="25">
        <v>1544.270131</v>
      </c>
    </row>
    <row r="234">
      <c r="A234" s="28"/>
      <c r="B234" s="19">
        <v>42237.0</v>
      </c>
      <c r="C234" s="20">
        <v>34.0</v>
      </c>
      <c r="D234" s="26">
        <v>233.0</v>
      </c>
      <c r="E234" s="34">
        <f t="shared" si="25"/>
        <v>6732.290323</v>
      </c>
      <c r="F234" s="34">
        <f t="shared" si="26"/>
        <v>0.8064516129</v>
      </c>
      <c r="G234" s="35">
        <f t="shared" si="24"/>
        <v>6738.601873</v>
      </c>
      <c r="H234" s="8"/>
      <c r="I234" s="9">
        <f t="shared" si="2"/>
        <v>34</v>
      </c>
      <c r="J234" s="8"/>
      <c r="K234" s="27"/>
      <c r="L234" s="9">
        <f t="shared" si="4"/>
        <v>42819.99454</v>
      </c>
      <c r="M234" s="27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28"/>
      <c r="B235" s="19">
        <v>42238.0</v>
      </c>
      <c r="C235" s="20">
        <v>34.0</v>
      </c>
      <c r="D235" s="26">
        <v>234.0</v>
      </c>
      <c r="E235" s="34">
        <f t="shared" si="25"/>
        <v>6732.290323</v>
      </c>
      <c r="F235" s="34">
        <f t="shared" si="26"/>
        <v>0.7741935484</v>
      </c>
      <c r="G235" s="35">
        <f t="shared" si="24"/>
        <v>6739.653798</v>
      </c>
      <c r="H235" s="8"/>
      <c r="I235" s="9">
        <f t="shared" si="2"/>
        <v>34</v>
      </c>
      <c r="J235" s="8"/>
      <c r="K235" s="27"/>
      <c r="L235" s="9">
        <f t="shared" si="4"/>
        <v>42819.99454</v>
      </c>
      <c r="M235" s="27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28"/>
      <c r="B236" s="19">
        <v>42239.0</v>
      </c>
      <c r="C236" s="20">
        <v>34.0</v>
      </c>
      <c r="D236" s="26">
        <v>235.0</v>
      </c>
      <c r="E236" s="34">
        <f t="shared" si="25"/>
        <v>6732.290323</v>
      </c>
      <c r="F236" s="34">
        <f t="shared" si="26"/>
        <v>0.7419354839</v>
      </c>
      <c r="G236" s="35">
        <f t="shared" si="24"/>
        <v>6740.705723</v>
      </c>
      <c r="H236" s="8"/>
      <c r="I236" s="9">
        <f t="shared" si="2"/>
        <v>34</v>
      </c>
      <c r="J236" s="8"/>
      <c r="K236" s="27"/>
      <c r="L236" s="9">
        <f t="shared" si="4"/>
        <v>42819.99454</v>
      </c>
      <c r="M236" s="27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28"/>
      <c r="B237" s="19">
        <v>42240.0</v>
      </c>
      <c r="C237" s="20">
        <v>34.0</v>
      </c>
      <c r="D237" s="26">
        <v>236.0</v>
      </c>
      <c r="E237" s="34">
        <f t="shared" si="25"/>
        <v>6732.290323</v>
      </c>
      <c r="F237" s="34">
        <f t="shared" si="26"/>
        <v>0.7096774194</v>
      </c>
      <c r="G237" s="35">
        <f t="shared" si="24"/>
        <v>6741.757648</v>
      </c>
      <c r="H237" s="8"/>
      <c r="I237" s="9">
        <f t="shared" si="2"/>
        <v>34</v>
      </c>
      <c r="J237" s="8"/>
      <c r="K237" s="27"/>
      <c r="L237" s="9">
        <f t="shared" si="4"/>
        <v>42819.99454</v>
      </c>
      <c r="M237" s="27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28"/>
      <c r="B238" s="19">
        <v>42241.0</v>
      </c>
      <c r="C238" s="20">
        <v>34.0</v>
      </c>
      <c r="D238" s="26">
        <v>237.0</v>
      </c>
      <c r="E238" s="34">
        <f t="shared" si="25"/>
        <v>6732.290323</v>
      </c>
      <c r="F238" s="34">
        <f t="shared" si="26"/>
        <v>0.6774193548</v>
      </c>
      <c r="G238" s="35">
        <f t="shared" si="24"/>
        <v>6742.809573</v>
      </c>
      <c r="H238" s="8"/>
      <c r="I238" s="9">
        <f t="shared" si="2"/>
        <v>34</v>
      </c>
      <c r="J238" s="8"/>
      <c r="K238" s="27"/>
      <c r="L238" s="9">
        <f t="shared" si="4"/>
        <v>42819.99454</v>
      </c>
      <c r="M238" s="27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28"/>
      <c r="B239" s="19">
        <v>42242.0</v>
      </c>
      <c r="C239" s="20">
        <v>34.0</v>
      </c>
      <c r="D239" s="26">
        <v>238.0</v>
      </c>
      <c r="E239" s="34">
        <f t="shared" si="25"/>
        <v>6732.290323</v>
      </c>
      <c r="F239" s="34">
        <f t="shared" si="26"/>
        <v>0.6451612903</v>
      </c>
      <c r="G239" s="35">
        <f t="shared" si="24"/>
        <v>6743.861498</v>
      </c>
      <c r="H239" s="8"/>
      <c r="I239" s="9">
        <f t="shared" si="2"/>
        <v>34</v>
      </c>
      <c r="J239" s="8"/>
      <c r="K239" s="27"/>
      <c r="L239" s="9">
        <f t="shared" si="4"/>
        <v>42819.99454</v>
      </c>
      <c r="M239" s="27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28"/>
      <c r="B240" s="19">
        <v>42243.0</v>
      </c>
      <c r="C240" s="20">
        <v>35.0</v>
      </c>
      <c r="D240" s="26">
        <v>239.0</v>
      </c>
      <c r="E240" s="34">
        <f t="shared" si="25"/>
        <v>6732.290323</v>
      </c>
      <c r="F240" s="34">
        <f t="shared" si="26"/>
        <v>0.6129032258</v>
      </c>
      <c r="G240" s="35">
        <f t="shared" si="24"/>
        <v>6744.913424</v>
      </c>
      <c r="H240" s="8"/>
      <c r="I240" s="9">
        <f t="shared" si="2"/>
        <v>35</v>
      </c>
      <c r="J240" s="22">
        <f>SUM(G240:G246)</f>
        <v>47236.48439</v>
      </c>
      <c r="K240" s="24">
        <v>47236.48439</v>
      </c>
      <c r="L240" s="9">
        <f t="shared" si="4"/>
        <v>42819.99454</v>
      </c>
      <c r="M240" s="24">
        <v>42819.99454</v>
      </c>
      <c r="N240" s="25">
        <v>12525.36138</v>
      </c>
      <c r="O240" s="25">
        <v>11320.20313</v>
      </c>
      <c r="P240" s="25">
        <v>2805.64371</v>
      </c>
      <c r="Q240" s="25">
        <v>20652.50273</v>
      </c>
      <c r="R240" s="18"/>
      <c r="S240" s="25">
        <v>11255.90326</v>
      </c>
      <c r="T240" s="25">
        <v>10517.79452</v>
      </c>
      <c r="U240" s="25">
        <v>2473.838119</v>
      </c>
      <c r="V240" s="25">
        <v>17800.24173</v>
      </c>
      <c r="W240" s="25">
        <v>1269.458121</v>
      </c>
      <c r="X240" s="25">
        <v>802.4086099</v>
      </c>
      <c r="Y240" s="25">
        <v>331.8055907</v>
      </c>
      <c r="Z240" s="25">
        <v>2852.261</v>
      </c>
    </row>
    <row r="241">
      <c r="A241" s="28"/>
      <c r="B241" s="19">
        <v>42244.0</v>
      </c>
      <c r="C241" s="20">
        <v>35.0</v>
      </c>
      <c r="D241" s="26">
        <v>240.0</v>
      </c>
      <c r="E241" s="34">
        <f t="shared" si="25"/>
        <v>6732.290323</v>
      </c>
      <c r="F241" s="34">
        <f t="shared" si="26"/>
        <v>0.5806451613</v>
      </c>
      <c r="G241" s="35">
        <f t="shared" si="24"/>
        <v>6745.965349</v>
      </c>
      <c r="H241" s="8"/>
      <c r="I241" s="9">
        <f t="shared" si="2"/>
        <v>35</v>
      </c>
      <c r="J241" s="8"/>
      <c r="K241" s="27"/>
      <c r="L241" s="9">
        <f t="shared" si="4"/>
        <v>42819.99454</v>
      </c>
      <c r="M241" s="27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28"/>
      <c r="B242" s="19">
        <v>42245.0</v>
      </c>
      <c r="C242" s="20">
        <v>35.0</v>
      </c>
      <c r="D242" s="26">
        <v>241.0</v>
      </c>
      <c r="E242" s="34">
        <f t="shared" si="25"/>
        <v>6732.290323</v>
      </c>
      <c r="F242" s="34">
        <f t="shared" si="26"/>
        <v>0.5483870968</v>
      </c>
      <c r="G242" s="35">
        <f t="shared" si="24"/>
        <v>6747.017274</v>
      </c>
      <c r="H242" s="8"/>
      <c r="I242" s="9">
        <f t="shared" si="2"/>
        <v>35</v>
      </c>
      <c r="J242" s="8"/>
      <c r="K242" s="27"/>
      <c r="L242" s="9">
        <f t="shared" si="4"/>
        <v>42819.99454</v>
      </c>
      <c r="M242" s="27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28"/>
      <c r="B243" s="19">
        <v>42246.0</v>
      </c>
      <c r="C243" s="20">
        <v>35.0</v>
      </c>
      <c r="D243" s="26">
        <v>242.0</v>
      </c>
      <c r="E243" s="34">
        <f t="shared" si="25"/>
        <v>6732.290323</v>
      </c>
      <c r="F243" s="34">
        <f t="shared" si="26"/>
        <v>0.5161290323</v>
      </c>
      <c r="G243" s="35">
        <f t="shared" si="24"/>
        <v>6748.069199</v>
      </c>
      <c r="H243" s="8"/>
      <c r="I243" s="9">
        <f t="shared" si="2"/>
        <v>35</v>
      </c>
      <c r="J243" s="8"/>
      <c r="K243" s="27"/>
      <c r="L243" s="9">
        <f t="shared" si="4"/>
        <v>42819.99454</v>
      </c>
      <c r="M243" s="27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28"/>
      <c r="B244" s="19">
        <v>42247.0</v>
      </c>
      <c r="C244" s="20">
        <v>35.0</v>
      </c>
      <c r="D244" s="26">
        <v>243.0</v>
      </c>
      <c r="E244" s="34">
        <f t="shared" si="25"/>
        <v>6732.290323</v>
      </c>
      <c r="F244" s="34">
        <f t="shared" si="26"/>
        <v>0.4838709677</v>
      </c>
      <c r="G244" s="35">
        <f t="shared" si="24"/>
        <v>6749.121124</v>
      </c>
      <c r="H244" s="8"/>
      <c r="I244" s="9">
        <f t="shared" si="2"/>
        <v>35</v>
      </c>
      <c r="J244" s="8"/>
      <c r="K244" s="27"/>
      <c r="L244" s="9">
        <f t="shared" si="4"/>
        <v>42819.99454</v>
      </c>
      <c r="M244" s="27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28"/>
      <c r="B245" s="19">
        <v>42248.0</v>
      </c>
      <c r="C245" s="20">
        <v>35.0</v>
      </c>
      <c r="D245" s="26">
        <v>244.0</v>
      </c>
      <c r="E245" s="34">
        <f>A247/30</f>
        <v>6764.9</v>
      </c>
      <c r="F245" s="34">
        <f t="shared" si="26"/>
        <v>0.4516129032</v>
      </c>
      <c r="G245" s="35">
        <f t="shared" si="24"/>
        <v>6750.173049</v>
      </c>
      <c r="H245" s="8"/>
      <c r="I245" s="9">
        <f t="shared" si="2"/>
        <v>35</v>
      </c>
      <c r="J245" s="8"/>
      <c r="K245" s="27"/>
      <c r="L245" s="9">
        <f t="shared" si="4"/>
        <v>42819.99454</v>
      </c>
      <c r="M245" s="27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3" t="s">
        <v>72</v>
      </c>
      <c r="B246" s="19">
        <v>42249.0</v>
      </c>
      <c r="C246" s="20">
        <v>35.0</v>
      </c>
      <c r="D246" s="26">
        <v>245.0</v>
      </c>
      <c r="E246" s="34">
        <f>A247/30</f>
        <v>6764.9</v>
      </c>
      <c r="F246" s="34">
        <f t="shared" si="26"/>
        <v>0.4193548387</v>
      </c>
      <c r="G246" s="35">
        <f t="shared" si="24"/>
        <v>6751.224974</v>
      </c>
      <c r="H246" s="8"/>
      <c r="I246" s="9">
        <f t="shared" si="2"/>
        <v>35</v>
      </c>
      <c r="J246" s="8"/>
      <c r="K246" s="27"/>
      <c r="L246" s="9">
        <f t="shared" si="4"/>
        <v>42819.99454</v>
      </c>
      <c r="M246" s="27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20">
        <v>202947.0</v>
      </c>
      <c r="B247" s="19">
        <v>42250.0</v>
      </c>
      <c r="C247" s="20">
        <v>36.0</v>
      </c>
      <c r="D247" s="26">
        <v>246.0</v>
      </c>
      <c r="E247" s="34">
        <f t="shared" ref="E247:E274" si="27">E246</f>
        <v>6764.9</v>
      </c>
      <c r="F247" s="34">
        <f t="shared" si="26"/>
        <v>0.3870967742</v>
      </c>
      <c r="G247" s="35">
        <f t="shared" si="24"/>
        <v>6752.276899</v>
      </c>
      <c r="H247" s="8"/>
      <c r="I247" s="9">
        <f t="shared" si="2"/>
        <v>36</v>
      </c>
      <c r="J247" s="22">
        <f>SUM(G247:G253)</f>
        <v>47288.02872</v>
      </c>
      <c r="K247" s="24">
        <v>47288.02872</v>
      </c>
      <c r="L247" s="9">
        <f t="shared" si="4"/>
        <v>42819.99454</v>
      </c>
      <c r="M247" s="24">
        <v>42819.99454</v>
      </c>
      <c r="N247" s="25">
        <v>12982.89572</v>
      </c>
      <c r="O247" s="25">
        <v>11756.58188</v>
      </c>
      <c r="P247" s="25">
        <v>2972.113752</v>
      </c>
      <c r="Q247" s="25">
        <v>21566.18089</v>
      </c>
      <c r="R247" s="18"/>
      <c r="S247" s="25">
        <v>11407.04871</v>
      </c>
      <c r="T247" s="25">
        <v>10495.07942</v>
      </c>
      <c r="U247" s="25">
        <v>2503.420555</v>
      </c>
      <c r="V247" s="25">
        <v>18127.43322</v>
      </c>
      <c r="W247" s="25">
        <v>1575.84701</v>
      </c>
      <c r="X247" s="25">
        <v>1261.502462</v>
      </c>
      <c r="Y247" s="25">
        <v>468.6931975</v>
      </c>
      <c r="Z247" s="25">
        <v>3438.747668</v>
      </c>
    </row>
    <row r="248">
      <c r="A248" s="28"/>
      <c r="B248" s="19">
        <v>42251.0</v>
      </c>
      <c r="C248" s="20">
        <v>36.0</v>
      </c>
      <c r="D248" s="26">
        <v>247.0</v>
      </c>
      <c r="E248" s="34">
        <f t="shared" si="27"/>
        <v>6764.9</v>
      </c>
      <c r="F248" s="34">
        <f t="shared" si="26"/>
        <v>0.3548387097</v>
      </c>
      <c r="G248" s="35">
        <f t="shared" si="24"/>
        <v>6753.328824</v>
      </c>
      <c r="H248" s="8"/>
      <c r="I248" s="9">
        <f t="shared" si="2"/>
        <v>36</v>
      </c>
      <c r="J248" s="8"/>
      <c r="K248" s="27"/>
      <c r="L248" s="9">
        <f t="shared" si="4"/>
        <v>42819.99454</v>
      </c>
      <c r="M248" s="27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28"/>
      <c r="B249" s="19">
        <v>42252.0</v>
      </c>
      <c r="C249" s="20">
        <v>36.0</v>
      </c>
      <c r="D249" s="26">
        <v>248.0</v>
      </c>
      <c r="E249" s="34">
        <f t="shared" si="27"/>
        <v>6764.9</v>
      </c>
      <c r="F249" s="34">
        <f t="shared" si="26"/>
        <v>0.3225806452</v>
      </c>
      <c r="G249" s="35">
        <f t="shared" si="24"/>
        <v>6754.380749</v>
      </c>
      <c r="H249" s="8"/>
      <c r="I249" s="9">
        <f t="shared" si="2"/>
        <v>36</v>
      </c>
      <c r="J249" s="8"/>
      <c r="K249" s="27"/>
      <c r="L249" s="9">
        <f t="shared" si="4"/>
        <v>42819.99454</v>
      </c>
      <c r="M249" s="27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28"/>
      <c r="B250" s="19">
        <v>42253.0</v>
      </c>
      <c r="C250" s="20">
        <v>36.0</v>
      </c>
      <c r="D250" s="26">
        <v>249.0</v>
      </c>
      <c r="E250" s="34">
        <f t="shared" si="27"/>
        <v>6764.9</v>
      </c>
      <c r="F250" s="34">
        <f t="shared" si="26"/>
        <v>0.2903225806</v>
      </c>
      <c r="G250" s="35">
        <f t="shared" si="24"/>
        <v>6755.432674</v>
      </c>
      <c r="H250" s="8"/>
      <c r="I250" s="9">
        <f t="shared" si="2"/>
        <v>36</v>
      </c>
      <c r="J250" s="8"/>
      <c r="K250" s="27"/>
      <c r="L250" s="9">
        <f t="shared" si="4"/>
        <v>42819.99454</v>
      </c>
      <c r="M250" s="27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28"/>
      <c r="B251" s="19">
        <v>42254.0</v>
      </c>
      <c r="C251" s="20">
        <v>36.0</v>
      </c>
      <c r="D251" s="26">
        <v>250.0</v>
      </c>
      <c r="E251" s="34">
        <f t="shared" si="27"/>
        <v>6764.9</v>
      </c>
      <c r="F251" s="34">
        <f t="shared" si="26"/>
        <v>0.2580645161</v>
      </c>
      <c r="G251" s="35">
        <f t="shared" si="24"/>
        <v>6756.484599</v>
      </c>
      <c r="H251" s="8"/>
      <c r="I251" s="9">
        <f t="shared" si="2"/>
        <v>36</v>
      </c>
      <c r="J251" s="8"/>
      <c r="K251" s="27"/>
      <c r="L251" s="9">
        <f t="shared" si="4"/>
        <v>42819.99454</v>
      </c>
      <c r="M251" s="27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28"/>
      <c r="B252" s="19">
        <v>42255.0</v>
      </c>
      <c r="C252" s="20">
        <v>36.0</v>
      </c>
      <c r="D252" s="26">
        <v>251.0</v>
      </c>
      <c r="E252" s="34">
        <f t="shared" si="27"/>
        <v>6764.9</v>
      </c>
      <c r="F252" s="34">
        <f t="shared" si="26"/>
        <v>0.2258064516</v>
      </c>
      <c r="G252" s="35">
        <f t="shared" si="24"/>
        <v>6757.536524</v>
      </c>
      <c r="H252" s="8"/>
      <c r="I252" s="9">
        <f t="shared" si="2"/>
        <v>36</v>
      </c>
      <c r="J252" s="8"/>
      <c r="K252" s="27"/>
      <c r="L252" s="9">
        <f t="shared" si="4"/>
        <v>42819.99454</v>
      </c>
      <c r="M252" s="27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28"/>
      <c r="B253" s="19">
        <v>42256.0</v>
      </c>
      <c r="C253" s="20">
        <v>36.0</v>
      </c>
      <c r="D253" s="26">
        <v>252.0</v>
      </c>
      <c r="E253" s="34">
        <f t="shared" si="27"/>
        <v>6764.9</v>
      </c>
      <c r="F253" s="34">
        <f t="shared" si="26"/>
        <v>0.1935483871</v>
      </c>
      <c r="G253" s="35">
        <f t="shared" si="24"/>
        <v>6758.58845</v>
      </c>
      <c r="H253" s="8"/>
      <c r="I253" s="9">
        <f t="shared" si="2"/>
        <v>36</v>
      </c>
      <c r="J253" s="8"/>
      <c r="K253" s="27"/>
      <c r="L253" s="9">
        <f t="shared" si="4"/>
        <v>42819.99454</v>
      </c>
      <c r="M253" s="27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28"/>
      <c r="B254" s="19">
        <v>42257.0</v>
      </c>
      <c r="C254" s="20">
        <v>37.0</v>
      </c>
      <c r="D254" s="26">
        <v>253.0</v>
      </c>
      <c r="E254" s="34">
        <f t="shared" si="27"/>
        <v>6764.9</v>
      </c>
      <c r="F254" s="34">
        <f t="shared" si="26"/>
        <v>0.1612903226</v>
      </c>
      <c r="G254" s="35">
        <f t="shared" si="24"/>
        <v>6759.640375</v>
      </c>
      <c r="H254" s="8"/>
      <c r="I254" s="9">
        <f t="shared" si="2"/>
        <v>37</v>
      </c>
      <c r="J254" s="22">
        <f>SUM(G254:G260)</f>
        <v>47352.23198</v>
      </c>
      <c r="K254" s="24">
        <v>47352.23198</v>
      </c>
      <c r="L254" s="9">
        <f t="shared" si="4"/>
        <v>42819.99454</v>
      </c>
      <c r="M254" s="24">
        <v>42819.99454</v>
      </c>
      <c r="N254" s="25">
        <v>12364.24169</v>
      </c>
      <c r="O254" s="25">
        <v>11137.74503</v>
      </c>
      <c r="P254" s="25">
        <v>2963.010137</v>
      </c>
      <c r="Q254" s="25">
        <v>20207.16412</v>
      </c>
      <c r="R254" s="18"/>
      <c r="S254" s="25">
        <v>11477.29849</v>
      </c>
      <c r="T254" s="25">
        <v>9858.553156</v>
      </c>
      <c r="U254" s="25">
        <v>2525.625246</v>
      </c>
      <c r="V254" s="25">
        <v>18546.04066</v>
      </c>
      <c r="W254" s="25">
        <v>886.9432024</v>
      </c>
      <c r="X254" s="25">
        <v>1279.191873</v>
      </c>
      <c r="Y254" s="25">
        <v>437.3848913</v>
      </c>
      <c r="Z254" s="25">
        <v>1661.123464</v>
      </c>
    </row>
    <row r="255">
      <c r="A255" s="28"/>
      <c r="B255" s="19">
        <v>42258.0</v>
      </c>
      <c r="C255" s="20">
        <v>37.0</v>
      </c>
      <c r="D255" s="26">
        <v>254.0</v>
      </c>
      <c r="E255" s="34">
        <f t="shared" si="27"/>
        <v>6764.9</v>
      </c>
      <c r="F255" s="34">
        <f t="shared" si="26"/>
        <v>0.1290322581</v>
      </c>
      <c r="G255" s="35">
        <f t="shared" si="24"/>
        <v>6760.6923</v>
      </c>
      <c r="H255" s="8"/>
      <c r="I255" s="9">
        <f t="shared" si="2"/>
        <v>37</v>
      </c>
      <c r="J255" s="8"/>
      <c r="K255" s="27"/>
      <c r="L255" s="9">
        <f t="shared" si="4"/>
        <v>42819.99454</v>
      </c>
      <c r="M255" s="27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28"/>
      <c r="B256" s="19">
        <v>42259.0</v>
      </c>
      <c r="C256" s="20">
        <v>37.0</v>
      </c>
      <c r="D256" s="26">
        <v>255.0</v>
      </c>
      <c r="E256" s="34">
        <f t="shared" si="27"/>
        <v>6764.9</v>
      </c>
      <c r="F256" s="34">
        <f t="shared" si="26"/>
        <v>0.09677419355</v>
      </c>
      <c r="G256" s="35">
        <f t="shared" si="24"/>
        <v>6761.744225</v>
      </c>
      <c r="H256" s="8"/>
      <c r="I256" s="9">
        <f t="shared" si="2"/>
        <v>37</v>
      </c>
      <c r="J256" s="8"/>
      <c r="K256" s="27"/>
      <c r="L256" s="9">
        <f t="shared" si="4"/>
        <v>42819.99454</v>
      </c>
      <c r="M256" s="27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28"/>
      <c r="B257" s="19">
        <v>42260.0</v>
      </c>
      <c r="C257" s="20">
        <v>37.0</v>
      </c>
      <c r="D257" s="26">
        <v>256.0</v>
      </c>
      <c r="E257" s="34">
        <f t="shared" si="27"/>
        <v>6764.9</v>
      </c>
      <c r="F257" s="34">
        <f t="shared" si="26"/>
        <v>0.06451612903</v>
      </c>
      <c r="G257" s="35">
        <f t="shared" si="24"/>
        <v>6762.79615</v>
      </c>
      <c r="H257" s="8"/>
      <c r="I257" s="9">
        <f t="shared" si="2"/>
        <v>37</v>
      </c>
      <c r="J257" s="8"/>
      <c r="K257" s="27"/>
      <c r="L257" s="9">
        <f t="shared" si="4"/>
        <v>42819.99454</v>
      </c>
      <c r="M257" s="27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28"/>
      <c r="B258" s="19">
        <v>42261.0</v>
      </c>
      <c r="C258" s="20">
        <v>37.0</v>
      </c>
      <c r="D258" s="26">
        <v>257.0</v>
      </c>
      <c r="E258" s="34">
        <f t="shared" si="27"/>
        <v>6764.9</v>
      </c>
      <c r="F258" s="34">
        <f t="shared" si="26"/>
        <v>0.03225806452</v>
      </c>
      <c r="G258" s="35">
        <f t="shared" si="24"/>
        <v>6763.848075</v>
      </c>
      <c r="H258" s="8"/>
      <c r="I258" s="9">
        <f t="shared" si="2"/>
        <v>37</v>
      </c>
      <c r="J258" s="8"/>
      <c r="K258" s="27"/>
      <c r="L258" s="9">
        <f t="shared" si="4"/>
        <v>42819.99454</v>
      </c>
      <c r="M258" s="27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28"/>
      <c r="B259" s="19">
        <v>42262.0</v>
      </c>
      <c r="C259" s="20">
        <v>37.0</v>
      </c>
      <c r="D259" s="26">
        <v>258.0</v>
      </c>
      <c r="E259" s="34">
        <f t="shared" si="27"/>
        <v>6764.9</v>
      </c>
      <c r="F259" s="34">
        <f t="shared" si="26"/>
        <v>0</v>
      </c>
      <c r="G259" s="35">
        <f>E259</f>
        <v>6764.9</v>
      </c>
      <c r="H259" s="8"/>
      <c r="I259" s="9">
        <f t="shared" si="2"/>
        <v>37</v>
      </c>
      <c r="J259" s="8"/>
      <c r="K259" s="27"/>
      <c r="L259" s="9">
        <f t="shared" si="4"/>
        <v>42819.99454</v>
      </c>
      <c r="M259" s="27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3"/>
      <c r="B260" s="19">
        <v>42263.0</v>
      </c>
      <c r="C260" s="20">
        <v>37.0</v>
      </c>
      <c r="D260" s="26">
        <v>259.0</v>
      </c>
      <c r="E260" s="34">
        <f t="shared" si="27"/>
        <v>6764.9</v>
      </c>
      <c r="F260" s="34">
        <f t="shared" ref="F260:F289" si="28">abs((D260-288)/(258-288))</f>
        <v>0.9666666667</v>
      </c>
      <c r="G260" s="35">
        <f t="shared" ref="G260:G289" si="29">E245*F260+(1-F260)*E275</f>
        <v>6778.61086</v>
      </c>
      <c r="H260" s="8"/>
      <c r="I260" s="9">
        <f t="shared" si="2"/>
        <v>37</v>
      </c>
      <c r="J260" s="8"/>
      <c r="K260" s="27"/>
      <c r="L260" s="9">
        <f t="shared" si="4"/>
        <v>42819.99454</v>
      </c>
      <c r="M260" s="27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3"/>
      <c r="B261" s="19">
        <v>42264.0</v>
      </c>
      <c r="C261" s="20">
        <v>38.0</v>
      </c>
      <c r="D261" s="26">
        <v>260.0</v>
      </c>
      <c r="E261" s="34">
        <f t="shared" si="27"/>
        <v>6764.9</v>
      </c>
      <c r="F261" s="34">
        <f t="shared" si="28"/>
        <v>0.9333333333</v>
      </c>
      <c r="G261" s="35">
        <f t="shared" si="29"/>
        <v>6792.32172</v>
      </c>
      <c r="H261" s="8"/>
      <c r="I261" s="9">
        <f t="shared" si="2"/>
        <v>38</v>
      </c>
      <c r="J261" s="22">
        <f>SUM(G261:G267)</f>
        <v>47834.18011</v>
      </c>
      <c r="K261" s="24">
        <v>47834.18011</v>
      </c>
      <c r="L261" s="9">
        <f t="shared" si="4"/>
        <v>42819.99454</v>
      </c>
      <c r="M261" s="24">
        <v>42819.99454</v>
      </c>
      <c r="N261" s="25">
        <v>13008.76994</v>
      </c>
      <c r="O261" s="25">
        <v>11060.70426</v>
      </c>
      <c r="P261" s="25">
        <v>2946.891733</v>
      </c>
      <c r="Q261" s="25">
        <v>20588.28436</v>
      </c>
      <c r="R261" s="18"/>
      <c r="S261" s="25">
        <v>11386.44519</v>
      </c>
      <c r="T261" s="25">
        <v>9933.60422</v>
      </c>
      <c r="U261" s="25">
        <v>2528.762088</v>
      </c>
      <c r="V261" s="25">
        <v>18085.10281</v>
      </c>
      <c r="W261" s="25">
        <v>1622.324743</v>
      </c>
      <c r="X261" s="25">
        <v>1127.100044</v>
      </c>
      <c r="Y261" s="25">
        <v>418.1296454</v>
      </c>
      <c r="Z261" s="25">
        <v>2503.181549</v>
      </c>
    </row>
    <row r="262">
      <c r="A262" s="28"/>
      <c r="B262" s="19">
        <v>42265.0</v>
      </c>
      <c r="C262" s="20">
        <v>38.0</v>
      </c>
      <c r="D262" s="26">
        <v>261.0</v>
      </c>
      <c r="E262" s="34">
        <f t="shared" si="27"/>
        <v>6764.9</v>
      </c>
      <c r="F262" s="34">
        <f t="shared" si="28"/>
        <v>0.9</v>
      </c>
      <c r="G262" s="35">
        <f t="shared" si="29"/>
        <v>6806.032581</v>
      </c>
      <c r="H262" s="8"/>
      <c r="I262" s="9">
        <f t="shared" si="2"/>
        <v>38</v>
      </c>
      <c r="J262" s="8"/>
      <c r="K262" s="27"/>
      <c r="L262" s="9">
        <f t="shared" si="4"/>
        <v>42819.99454</v>
      </c>
      <c r="M262" s="27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28"/>
      <c r="B263" s="19">
        <v>42266.0</v>
      </c>
      <c r="C263" s="20">
        <v>38.0</v>
      </c>
      <c r="D263" s="26">
        <v>262.0</v>
      </c>
      <c r="E263" s="34">
        <f t="shared" si="27"/>
        <v>6764.9</v>
      </c>
      <c r="F263" s="34">
        <f t="shared" si="28"/>
        <v>0.8666666667</v>
      </c>
      <c r="G263" s="35">
        <f t="shared" si="29"/>
        <v>6819.743441</v>
      </c>
      <c r="H263" s="8"/>
      <c r="I263" s="9">
        <f t="shared" si="2"/>
        <v>38</v>
      </c>
      <c r="J263" s="8"/>
      <c r="K263" s="27"/>
      <c r="L263" s="9">
        <f t="shared" si="4"/>
        <v>42819.99454</v>
      </c>
      <c r="M263" s="27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28"/>
      <c r="B264" s="19">
        <v>42267.0</v>
      </c>
      <c r="C264" s="20">
        <v>38.0</v>
      </c>
      <c r="D264" s="26">
        <v>263.0</v>
      </c>
      <c r="E264" s="34">
        <f t="shared" si="27"/>
        <v>6764.9</v>
      </c>
      <c r="F264" s="34">
        <f t="shared" si="28"/>
        <v>0.8333333333</v>
      </c>
      <c r="G264" s="35">
        <f t="shared" si="29"/>
        <v>6833.454301</v>
      </c>
      <c r="H264" s="8"/>
      <c r="I264" s="9">
        <f t="shared" si="2"/>
        <v>38</v>
      </c>
      <c r="J264" s="8"/>
      <c r="K264" s="27"/>
      <c r="L264" s="9">
        <f t="shared" si="4"/>
        <v>42819.99454</v>
      </c>
      <c r="M264" s="27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28"/>
      <c r="B265" s="19">
        <v>42268.0</v>
      </c>
      <c r="C265" s="20">
        <v>38.0</v>
      </c>
      <c r="D265" s="26">
        <v>264.0</v>
      </c>
      <c r="E265" s="34">
        <f t="shared" si="27"/>
        <v>6764.9</v>
      </c>
      <c r="F265" s="34">
        <f t="shared" si="28"/>
        <v>0.8</v>
      </c>
      <c r="G265" s="35">
        <f t="shared" si="29"/>
        <v>6847.165161</v>
      </c>
      <c r="H265" s="8"/>
      <c r="I265" s="9">
        <f t="shared" si="2"/>
        <v>38</v>
      </c>
      <c r="J265" s="8"/>
      <c r="K265" s="27"/>
      <c r="L265" s="9">
        <f t="shared" si="4"/>
        <v>42819.99454</v>
      </c>
      <c r="M265" s="27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28"/>
      <c r="B266" s="19">
        <v>42269.0</v>
      </c>
      <c r="C266" s="20">
        <v>38.0</v>
      </c>
      <c r="D266" s="26">
        <v>265.0</v>
      </c>
      <c r="E266" s="34">
        <f t="shared" si="27"/>
        <v>6764.9</v>
      </c>
      <c r="F266" s="34">
        <f t="shared" si="28"/>
        <v>0.7666666667</v>
      </c>
      <c r="G266" s="35">
        <f t="shared" si="29"/>
        <v>6860.876022</v>
      </c>
      <c r="H266" s="8"/>
      <c r="I266" s="9">
        <f t="shared" si="2"/>
        <v>38</v>
      </c>
      <c r="J266" s="8"/>
      <c r="K266" s="27"/>
      <c r="L266" s="9">
        <f t="shared" si="4"/>
        <v>42819.99454</v>
      </c>
      <c r="M266" s="27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28"/>
      <c r="B267" s="19">
        <v>42270.0</v>
      </c>
      <c r="C267" s="20">
        <v>38.0</v>
      </c>
      <c r="D267" s="26">
        <v>266.0</v>
      </c>
      <c r="E267" s="34">
        <f t="shared" si="27"/>
        <v>6764.9</v>
      </c>
      <c r="F267" s="34">
        <f t="shared" si="28"/>
        <v>0.7333333333</v>
      </c>
      <c r="G267" s="35">
        <f t="shared" si="29"/>
        <v>6874.586882</v>
      </c>
      <c r="H267" s="8"/>
      <c r="I267" s="9">
        <f t="shared" si="2"/>
        <v>38</v>
      </c>
      <c r="J267" s="8"/>
      <c r="K267" s="27"/>
      <c r="L267" s="9">
        <f t="shared" si="4"/>
        <v>42819.99454</v>
      </c>
      <c r="M267" s="27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28"/>
      <c r="B268" s="19">
        <v>42271.0</v>
      </c>
      <c r="C268" s="20">
        <v>39.0</v>
      </c>
      <c r="D268" s="26">
        <v>267.0</v>
      </c>
      <c r="E268" s="34">
        <f t="shared" si="27"/>
        <v>6764.9</v>
      </c>
      <c r="F268" s="34">
        <f t="shared" si="28"/>
        <v>0.7</v>
      </c>
      <c r="G268" s="35">
        <f t="shared" si="29"/>
        <v>6888.297742</v>
      </c>
      <c r="H268" s="8"/>
      <c r="I268" s="9">
        <f t="shared" si="2"/>
        <v>39</v>
      </c>
      <c r="J268" s="22">
        <f>SUM(G268:G274)</f>
        <v>48506.01226</v>
      </c>
      <c r="K268" s="24">
        <v>48506.01226</v>
      </c>
      <c r="L268" s="9">
        <f t="shared" si="4"/>
        <v>42819.99454</v>
      </c>
      <c r="M268" s="24">
        <v>42819.99454</v>
      </c>
      <c r="N268" s="25">
        <v>12355.34479</v>
      </c>
      <c r="O268" s="25">
        <v>11703.98814</v>
      </c>
      <c r="P268" s="25">
        <v>3016.287426</v>
      </c>
      <c r="Q268" s="25">
        <v>21247.59636</v>
      </c>
      <c r="R268" s="18"/>
      <c r="S268" s="25">
        <v>10955.43595</v>
      </c>
      <c r="T268" s="25">
        <v>10032.79432</v>
      </c>
      <c r="U268" s="25">
        <v>2645.410745</v>
      </c>
      <c r="V268" s="25">
        <v>18624.99185</v>
      </c>
      <c r="W268" s="25">
        <v>1399.908842</v>
      </c>
      <c r="X268" s="25">
        <v>1671.193817</v>
      </c>
      <c r="Y268" s="25">
        <v>370.8766811</v>
      </c>
      <c r="Z268" s="25">
        <v>2622.604508</v>
      </c>
    </row>
    <row r="269">
      <c r="A269" s="28"/>
      <c r="B269" s="19">
        <v>42272.0</v>
      </c>
      <c r="C269" s="20">
        <v>39.0</v>
      </c>
      <c r="D269" s="26">
        <v>268.0</v>
      </c>
      <c r="E269" s="34">
        <f t="shared" si="27"/>
        <v>6764.9</v>
      </c>
      <c r="F269" s="34">
        <f t="shared" si="28"/>
        <v>0.6666666667</v>
      </c>
      <c r="G269" s="35">
        <f t="shared" si="29"/>
        <v>6902.008602</v>
      </c>
      <c r="H269" s="8"/>
      <c r="I269" s="9">
        <f t="shared" si="2"/>
        <v>39</v>
      </c>
      <c r="J269" s="8"/>
      <c r="K269" s="27"/>
      <c r="L269" s="9">
        <f t="shared" si="4"/>
        <v>42819.99454</v>
      </c>
      <c r="M269" s="27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28"/>
      <c r="B270" s="19">
        <v>42273.0</v>
      </c>
      <c r="C270" s="20">
        <v>39.0</v>
      </c>
      <c r="D270" s="26">
        <v>269.0</v>
      </c>
      <c r="E270" s="34">
        <f t="shared" si="27"/>
        <v>6764.9</v>
      </c>
      <c r="F270" s="34">
        <f t="shared" si="28"/>
        <v>0.6333333333</v>
      </c>
      <c r="G270" s="35">
        <f t="shared" si="29"/>
        <v>6915.719462</v>
      </c>
      <c r="H270" s="8"/>
      <c r="I270" s="9">
        <f t="shared" si="2"/>
        <v>39</v>
      </c>
      <c r="J270" s="8"/>
      <c r="K270" s="27"/>
      <c r="L270" s="9">
        <f t="shared" si="4"/>
        <v>42819.99454</v>
      </c>
      <c r="M270" s="27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28"/>
      <c r="B271" s="19">
        <v>42274.0</v>
      </c>
      <c r="C271" s="20">
        <v>39.0</v>
      </c>
      <c r="D271" s="26">
        <v>270.0</v>
      </c>
      <c r="E271" s="34">
        <f t="shared" si="27"/>
        <v>6764.9</v>
      </c>
      <c r="F271" s="34">
        <f t="shared" si="28"/>
        <v>0.6</v>
      </c>
      <c r="G271" s="35">
        <f t="shared" si="29"/>
        <v>6929.430323</v>
      </c>
      <c r="H271" s="8"/>
      <c r="I271" s="9">
        <f t="shared" si="2"/>
        <v>39</v>
      </c>
      <c r="J271" s="8"/>
      <c r="K271" s="27"/>
      <c r="L271" s="9">
        <f t="shared" si="4"/>
        <v>42819.99454</v>
      </c>
      <c r="M271" s="27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28"/>
      <c r="B272" s="19">
        <v>42275.0</v>
      </c>
      <c r="C272" s="20">
        <v>39.0</v>
      </c>
      <c r="D272" s="26">
        <v>271.0</v>
      </c>
      <c r="E272" s="34">
        <f t="shared" si="27"/>
        <v>6764.9</v>
      </c>
      <c r="F272" s="34">
        <f t="shared" si="28"/>
        <v>0.5666666667</v>
      </c>
      <c r="G272" s="35">
        <f t="shared" si="29"/>
        <v>6943.141183</v>
      </c>
      <c r="H272" s="8"/>
      <c r="I272" s="9">
        <f t="shared" si="2"/>
        <v>39</v>
      </c>
      <c r="J272" s="8"/>
      <c r="K272" s="27"/>
      <c r="L272" s="9">
        <f t="shared" si="4"/>
        <v>42819.99454</v>
      </c>
      <c r="M272" s="27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28"/>
      <c r="B273" s="19">
        <v>42276.0</v>
      </c>
      <c r="C273" s="20">
        <v>39.0</v>
      </c>
      <c r="D273" s="26">
        <v>272.0</v>
      </c>
      <c r="E273" s="34">
        <f t="shared" si="27"/>
        <v>6764.9</v>
      </c>
      <c r="F273" s="34">
        <f t="shared" si="28"/>
        <v>0.5333333333</v>
      </c>
      <c r="G273" s="35">
        <f t="shared" si="29"/>
        <v>6956.852043</v>
      </c>
      <c r="H273" s="8"/>
      <c r="I273" s="9">
        <f t="shared" si="2"/>
        <v>39</v>
      </c>
      <c r="J273" s="8"/>
      <c r="K273" s="27"/>
      <c r="L273" s="9">
        <f t="shared" si="4"/>
        <v>42819.99454</v>
      </c>
      <c r="M273" s="27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28"/>
      <c r="B274" s="19">
        <v>42277.0</v>
      </c>
      <c r="C274" s="20">
        <v>39.0</v>
      </c>
      <c r="D274" s="26">
        <v>273.0</v>
      </c>
      <c r="E274" s="34">
        <f t="shared" si="27"/>
        <v>6764.9</v>
      </c>
      <c r="F274" s="34">
        <f t="shared" si="28"/>
        <v>0.5</v>
      </c>
      <c r="G274" s="35">
        <f t="shared" si="29"/>
        <v>6970.562903</v>
      </c>
      <c r="H274" s="8"/>
      <c r="I274" s="9">
        <f t="shared" si="2"/>
        <v>39</v>
      </c>
      <c r="J274" s="8"/>
      <c r="K274" s="27"/>
      <c r="L274" s="9">
        <f t="shared" si="4"/>
        <v>42819.99454</v>
      </c>
      <c r="M274" s="27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28"/>
      <c r="B275" s="19">
        <v>42278.0</v>
      </c>
      <c r="C275" s="20">
        <v>40.0</v>
      </c>
      <c r="D275" s="26">
        <v>274.0</v>
      </c>
      <c r="E275" s="34">
        <f>A277/31</f>
        <v>7176.225806</v>
      </c>
      <c r="F275" s="34">
        <f t="shared" si="28"/>
        <v>0.4666666667</v>
      </c>
      <c r="G275" s="35">
        <f t="shared" si="29"/>
        <v>6984.273763</v>
      </c>
      <c r="H275" s="8"/>
      <c r="I275" s="9">
        <f t="shared" si="2"/>
        <v>40</v>
      </c>
      <c r="J275" s="22">
        <f>SUM(G275:G281)</f>
        <v>49177.84441</v>
      </c>
      <c r="K275" s="24">
        <v>49177.84441</v>
      </c>
      <c r="L275" s="9">
        <f t="shared" si="4"/>
        <v>42819.99454</v>
      </c>
      <c r="M275" s="24">
        <v>42819.99454</v>
      </c>
      <c r="N275" s="25">
        <v>12797.89668</v>
      </c>
      <c r="O275" s="25">
        <v>12186.41674</v>
      </c>
      <c r="P275" s="25">
        <v>2865.9291</v>
      </c>
      <c r="Q275" s="25">
        <v>22050.14579</v>
      </c>
      <c r="R275" s="18"/>
      <c r="S275" s="25">
        <v>11236.87034</v>
      </c>
      <c r="T275" s="25">
        <v>9914.338827</v>
      </c>
      <c r="U275" s="25">
        <v>2475.841201</v>
      </c>
      <c r="V275" s="25">
        <v>18784.9763</v>
      </c>
      <c r="W275" s="25">
        <v>1561.026334</v>
      </c>
      <c r="X275" s="25">
        <v>2272.077912</v>
      </c>
      <c r="Y275" s="25">
        <v>390.0878986</v>
      </c>
      <c r="Z275" s="25">
        <v>3265.169484</v>
      </c>
    </row>
    <row r="276">
      <c r="A276" s="13" t="s">
        <v>73</v>
      </c>
      <c r="B276" s="19">
        <v>42279.0</v>
      </c>
      <c r="C276" s="20">
        <v>40.0</v>
      </c>
      <c r="D276" s="26">
        <v>275.0</v>
      </c>
      <c r="E276" s="34">
        <f>A277/31</f>
        <v>7176.225806</v>
      </c>
      <c r="F276" s="34">
        <f t="shared" si="28"/>
        <v>0.4333333333</v>
      </c>
      <c r="G276" s="35">
        <f t="shared" si="29"/>
        <v>6997.984624</v>
      </c>
      <c r="H276" s="8"/>
      <c r="I276" s="9">
        <f t="shared" si="2"/>
        <v>40</v>
      </c>
      <c r="J276" s="8"/>
      <c r="K276" s="27"/>
      <c r="L276" s="9">
        <f t="shared" si="4"/>
        <v>42819.99454</v>
      </c>
      <c r="M276" s="27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20">
        <v>222463.0</v>
      </c>
      <c r="B277" s="19">
        <v>42280.0</v>
      </c>
      <c r="C277" s="20">
        <v>40.0</v>
      </c>
      <c r="D277" s="26">
        <v>276.0</v>
      </c>
      <c r="E277" s="34">
        <f t="shared" ref="E277:E305" si="30">E276</f>
        <v>7176.225806</v>
      </c>
      <c r="F277" s="34">
        <f t="shared" si="28"/>
        <v>0.4</v>
      </c>
      <c r="G277" s="35">
        <f t="shared" si="29"/>
        <v>7011.695484</v>
      </c>
      <c r="H277" s="8"/>
      <c r="I277" s="9">
        <f t="shared" si="2"/>
        <v>40</v>
      </c>
      <c r="J277" s="8"/>
      <c r="K277" s="27"/>
      <c r="L277" s="9">
        <f t="shared" si="4"/>
        <v>42819.99454</v>
      </c>
      <c r="M277" s="27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28"/>
      <c r="B278" s="19">
        <v>42281.0</v>
      </c>
      <c r="C278" s="20">
        <v>40.0</v>
      </c>
      <c r="D278" s="26">
        <v>277.0</v>
      </c>
      <c r="E278" s="34">
        <f t="shared" si="30"/>
        <v>7176.225806</v>
      </c>
      <c r="F278" s="34">
        <f t="shared" si="28"/>
        <v>0.3666666667</v>
      </c>
      <c r="G278" s="35">
        <f t="shared" si="29"/>
        <v>7025.406344</v>
      </c>
      <c r="H278" s="8"/>
      <c r="I278" s="9">
        <f t="shared" si="2"/>
        <v>40</v>
      </c>
      <c r="J278" s="8"/>
      <c r="K278" s="27"/>
      <c r="L278" s="9">
        <f t="shared" si="4"/>
        <v>42819.99454</v>
      </c>
      <c r="M278" s="27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28"/>
      <c r="B279" s="19">
        <v>42282.0</v>
      </c>
      <c r="C279" s="20">
        <v>40.0</v>
      </c>
      <c r="D279" s="26">
        <v>278.0</v>
      </c>
      <c r="E279" s="34">
        <f t="shared" si="30"/>
        <v>7176.225806</v>
      </c>
      <c r="F279" s="34">
        <f t="shared" si="28"/>
        <v>0.3333333333</v>
      </c>
      <c r="G279" s="35">
        <f t="shared" si="29"/>
        <v>7039.117204</v>
      </c>
      <c r="H279" s="8"/>
      <c r="I279" s="9">
        <f t="shared" si="2"/>
        <v>40</v>
      </c>
      <c r="J279" s="8"/>
      <c r="K279" s="27"/>
      <c r="L279" s="9">
        <f t="shared" si="4"/>
        <v>42819.99454</v>
      </c>
      <c r="M279" s="27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28"/>
      <c r="B280" s="19">
        <v>42283.0</v>
      </c>
      <c r="C280" s="20">
        <v>40.0</v>
      </c>
      <c r="D280" s="26">
        <v>279.0</v>
      </c>
      <c r="E280" s="34">
        <f t="shared" si="30"/>
        <v>7176.225806</v>
      </c>
      <c r="F280" s="34">
        <f t="shared" si="28"/>
        <v>0.3</v>
      </c>
      <c r="G280" s="35">
        <f t="shared" si="29"/>
        <v>7052.828065</v>
      </c>
      <c r="H280" s="8"/>
      <c r="I280" s="9">
        <f t="shared" si="2"/>
        <v>40</v>
      </c>
      <c r="J280" s="8"/>
      <c r="K280" s="27"/>
      <c r="L280" s="9">
        <f t="shared" si="4"/>
        <v>42819.99454</v>
      </c>
      <c r="M280" s="27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28"/>
      <c r="B281" s="19">
        <v>42284.0</v>
      </c>
      <c r="C281" s="20">
        <v>40.0</v>
      </c>
      <c r="D281" s="26">
        <v>280.0</v>
      </c>
      <c r="E281" s="34">
        <f t="shared" si="30"/>
        <v>7176.225806</v>
      </c>
      <c r="F281" s="34">
        <f t="shared" si="28"/>
        <v>0.2666666667</v>
      </c>
      <c r="G281" s="35">
        <f t="shared" si="29"/>
        <v>7066.538925</v>
      </c>
      <c r="H281" s="8"/>
      <c r="I281" s="9">
        <f t="shared" si="2"/>
        <v>40</v>
      </c>
      <c r="J281" s="8"/>
      <c r="K281" s="27"/>
      <c r="L281" s="9">
        <f t="shared" si="4"/>
        <v>42819.99454</v>
      </c>
      <c r="M281" s="27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28"/>
      <c r="B282" s="19">
        <v>42285.0</v>
      </c>
      <c r="C282" s="20">
        <v>41.0</v>
      </c>
      <c r="D282" s="26">
        <v>281.0</v>
      </c>
      <c r="E282" s="34">
        <f t="shared" si="30"/>
        <v>7176.225806</v>
      </c>
      <c r="F282" s="34">
        <f t="shared" si="28"/>
        <v>0.2333333333</v>
      </c>
      <c r="G282" s="35">
        <f t="shared" si="29"/>
        <v>7080.249785</v>
      </c>
      <c r="H282" s="8"/>
      <c r="I282" s="9">
        <f t="shared" si="2"/>
        <v>41</v>
      </c>
      <c r="J282" s="22">
        <f>SUM(G282:G288)</f>
        <v>49849.67656</v>
      </c>
      <c r="K282" s="24">
        <v>49849.67656</v>
      </c>
      <c r="L282" s="9">
        <f t="shared" si="4"/>
        <v>42819.99454</v>
      </c>
      <c r="M282" s="24">
        <v>42819.99454</v>
      </c>
      <c r="N282" s="25">
        <v>13921.80151</v>
      </c>
      <c r="O282" s="25">
        <v>11873.15375</v>
      </c>
      <c r="P282" s="25">
        <v>2952.176349</v>
      </c>
      <c r="Q282" s="25">
        <v>22463.60606</v>
      </c>
      <c r="R282" s="18"/>
      <c r="S282" s="25">
        <v>11533.01904</v>
      </c>
      <c r="T282" s="25">
        <v>10272.32356</v>
      </c>
      <c r="U282" s="25">
        <v>2587.024041</v>
      </c>
      <c r="V282" s="25">
        <v>17935.12866</v>
      </c>
      <c r="W282" s="25">
        <v>2388.782467</v>
      </c>
      <c r="X282" s="25">
        <v>1600.830189</v>
      </c>
      <c r="Y282" s="25">
        <v>365.1523088</v>
      </c>
      <c r="Z282" s="25">
        <v>4528.477395</v>
      </c>
    </row>
    <row r="283">
      <c r="A283" s="28"/>
      <c r="B283" s="19">
        <v>42286.0</v>
      </c>
      <c r="C283" s="20">
        <v>41.0</v>
      </c>
      <c r="D283" s="26">
        <v>282.0</v>
      </c>
      <c r="E283" s="34">
        <f t="shared" si="30"/>
        <v>7176.225806</v>
      </c>
      <c r="F283" s="34">
        <f t="shared" si="28"/>
        <v>0.2</v>
      </c>
      <c r="G283" s="35">
        <f t="shared" si="29"/>
        <v>7093.960645</v>
      </c>
      <c r="H283" s="8"/>
      <c r="I283" s="9">
        <f t="shared" si="2"/>
        <v>41</v>
      </c>
      <c r="J283" s="8"/>
      <c r="K283" s="27"/>
      <c r="L283" s="9">
        <f t="shared" si="4"/>
        <v>42819.99454</v>
      </c>
      <c r="M283" s="27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28"/>
      <c r="B284" s="19">
        <v>42287.0</v>
      </c>
      <c r="C284" s="20">
        <v>41.0</v>
      </c>
      <c r="D284" s="26">
        <v>283.0</v>
      </c>
      <c r="E284" s="34">
        <f t="shared" si="30"/>
        <v>7176.225806</v>
      </c>
      <c r="F284" s="34">
        <f t="shared" si="28"/>
        <v>0.1666666667</v>
      </c>
      <c r="G284" s="35">
        <f t="shared" si="29"/>
        <v>7107.671505</v>
      </c>
      <c r="H284" s="8"/>
      <c r="I284" s="9">
        <f t="shared" si="2"/>
        <v>41</v>
      </c>
      <c r="J284" s="8"/>
      <c r="K284" s="27"/>
      <c r="L284" s="9">
        <f t="shared" si="4"/>
        <v>42819.99454</v>
      </c>
      <c r="M284" s="27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28"/>
      <c r="B285" s="19">
        <v>42288.0</v>
      </c>
      <c r="C285" s="20">
        <v>41.0</v>
      </c>
      <c r="D285" s="26">
        <v>284.0</v>
      </c>
      <c r="E285" s="34">
        <f t="shared" si="30"/>
        <v>7176.225806</v>
      </c>
      <c r="F285" s="34">
        <f t="shared" si="28"/>
        <v>0.1333333333</v>
      </c>
      <c r="G285" s="35">
        <f t="shared" si="29"/>
        <v>7121.382366</v>
      </c>
      <c r="H285" s="8"/>
      <c r="I285" s="9">
        <f t="shared" si="2"/>
        <v>41</v>
      </c>
      <c r="J285" s="8"/>
      <c r="K285" s="27"/>
      <c r="L285" s="9">
        <f t="shared" si="4"/>
        <v>42819.99454</v>
      </c>
      <c r="M285" s="27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28"/>
      <c r="B286" s="19">
        <v>42289.0</v>
      </c>
      <c r="C286" s="20">
        <v>41.0</v>
      </c>
      <c r="D286" s="26">
        <v>285.0</v>
      </c>
      <c r="E286" s="34">
        <f t="shared" si="30"/>
        <v>7176.225806</v>
      </c>
      <c r="F286" s="34">
        <f t="shared" si="28"/>
        <v>0.1</v>
      </c>
      <c r="G286" s="35">
        <f t="shared" si="29"/>
        <v>7135.093226</v>
      </c>
      <c r="H286" s="8"/>
      <c r="I286" s="9">
        <f t="shared" si="2"/>
        <v>41</v>
      </c>
      <c r="J286" s="8"/>
      <c r="K286" s="27"/>
      <c r="L286" s="9">
        <f t="shared" si="4"/>
        <v>42819.99454</v>
      </c>
      <c r="M286" s="27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28"/>
      <c r="B287" s="19">
        <v>42290.0</v>
      </c>
      <c r="C287" s="20">
        <v>41.0</v>
      </c>
      <c r="D287" s="26">
        <v>286.0</v>
      </c>
      <c r="E287" s="34">
        <f t="shared" si="30"/>
        <v>7176.225806</v>
      </c>
      <c r="F287" s="34">
        <f t="shared" si="28"/>
        <v>0.06666666667</v>
      </c>
      <c r="G287" s="35">
        <f t="shared" si="29"/>
        <v>7148.804086</v>
      </c>
      <c r="H287" s="8"/>
      <c r="I287" s="9">
        <f t="shared" si="2"/>
        <v>41</v>
      </c>
      <c r="J287" s="8"/>
      <c r="K287" s="27"/>
      <c r="L287" s="9">
        <f t="shared" si="4"/>
        <v>42819.99454</v>
      </c>
      <c r="M287" s="27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28"/>
      <c r="B288" s="19">
        <v>42291.0</v>
      </c>
      <c r="C288" s="20">
        <v>41.0</v>
      </c>
      <c r="D288" s="26">
        <v>287.0</v>
      </c>
      <c r="E288" s="34">
        <f t="shared" si="30"/>
        <v>7176.225806</v>
      </c>
      <c r="F288" s="34">
        <f t="shared" si="28"/>
        <v>0.03333333333</v>
      </c>
      <c r="G288" s="35">
        <f t="shared" si="29"/>
        <v>7162.514946</v>
      </c>
      <c r="H288" s="8"/>
      <c r="I288" s="9">
        <f t="shared" si="2"/>
        <v>41</v>
      </c>
      <c r="J288" s="8"/>
      <c r="K288" s="27"/>
      <c r="L288" s="9">
        <f t="shared" si="4"/>
        <v>42819.99454</v>
      </c>
      <c r="M288" s="27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28"/>
      <c r="B289" s="19">
        <v>42292.0</v>
      </c>
      <c r="C289" s="20">
        <v>42.0</v>
      </c>
      <c r="D289" s="26">
        <v>288.0</v>
      </c>
      <c r="E289" s="34">
        <f t="shared" si="30"/>
        <v>7176.225806</v>
      </c>
      <c r="F289" s="34">
        <f t="shared" si="28"/>
        <v>0</v>
      </c>
      <c r="G289" s="35">
        <f t="shared" si="29"/>
        <v>7176.225806</v>
      </c>
      <c r="H289" s="8"/>
      <c r="I289" s="9">
        <f t="shared" si="2"/>
        <v>42</v>
      </c>
      <c r="J289" s="22">
        <f>SUM(G289:G295)</f>
        <v>50221.27929</v>
      </c>
      <c r="K289" s="24">
        <v>50221.27929</v>
      </c>
      <c r="L289" s="9">
        <f t="shared" si="4"/>
        <v>42819.99454</v>
      </c>
      <c r="M289" s="24">
        <v>42819.99454</v>
      </c>
      <c r="N289" s="25">
        <v>12891.79677</v>
      </c>
      <c r="O289" s="25">
        <v>11364.37582</v>
      </c>
      <c r="P289" s="25">
        <v>2974.725617</v>
      </c>
      <c r="Q289" s="25">
        <v>22071.40311</v>
      </c>
      <c r="R289" s="18"/>
      <c r="S289" s="25">
        <v>10857.4264</v>
      </c>
      <c r="T289" s="25">
        <v>10576.42534</v>
      </c>
      <c r="U289" s="25">
        <v>2491.887741</v>
      </c>
      <c r="V289" s="25">
        <v>19234.8915</v>
      </c>
      <c r="W289" s="25">
        <v>2034.370374</v>
      </c>
      <c r="X289" s="25">
        <v>787.9504788</v>
      </c>
      <c r="Y289" s="25">
        <v>482.8378753</v>
      </c>
      <c r="Z289" s="25">
        <v>2836.511614</v>
      </c>
    </row>
    <row r="290">
      <c r="A290" s="13"/>
      <c r="B290" s="19">
        <v>42293.0</v>
      </c>
      <c r="C290" s="20">
        <v>42.0</v>
      </c>
      <c r="D290" s="26">
        <v>289.0</v>
      </c>
      <c r="E290" s="34">
        <f t="shared" si="30"/>
        <v>7176.225806</v>
      </c>
      <c r="F290" s="34">
        <f t="shared" ref="F290:F320" si="31">abs((D290-319)/(319-288))</f>
        <v>0.9677419355</v>
      </c>
      <c r="G290" s="35">
        <f t="shared" ref="G290:G319" si="32">E275*F290+(1-F290)*E306</f>
        <v>7175.640028</v>
      </c>
      <c r="H290" s="8"/>
      <c r="I290" s="9">
        <f t="shared" si="2"/>
        <v>42</v>
      </c>
      <c r="J290" s="8"/>
      <c r="K290" s="27"/>
      <c r="L290" s="9">
        <f t="shared" si="4"/>
        <v>42819.99454</v>
      </c>
      <c r="M290" s="27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3"/>
      <c r="B291" s="19">
        <v>42294.0</v>
      </c>
      <c r="C291" s="20">
        <v>42.0</v>
      </c>
      <c r="D291" s="26">
        <v>290.0</v>
      </c>
      <c r="E291" s="34">
        <f t="shared" si="30"/>
        <v>7176.225806</v>
      </c>
      <c r="F291" s="34">
        <f t="shared" si="31"/>
        <v>0.935483871</v>
      </c>
      <c r="G291" s="35">
        <f t="shared" si="32"/>
        <v>7175.054249</v>
      </c>
      <c r="H291" s="8"/>
      <c r="I291" s="9">
        <f t="shared" si="2"/>
        <v>42</v>
      </c>
      <c r="J291" s="8"/>
      <c r="K291" s="27"/>
      <c r="L291" s="9">
        <f t="shared" si="4"/>
        <v>42819.99454</v>
      </c>
      <c r="M291" s="27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28"/>
      <c r="B292" s="19">
        <v>42295.0</v>
      </c>
      <c r="C292" s="20">
        <v>42.0</v>
      </c>
      <c r="D292" s="26">
        <v>291.0</v>
      </c>
      <c r="E292" s="34">
        <f t="shared" si="30"/>
        <v>7176.225806</v>
      </c>
      <c r="F292" s="34">
        <f t="shared" si="31"/>
        <v>0.9032258065</v>
      </c>
      <c r="G292" s="35">
        <f t="shared" si="32"/>
        <v>7174.46847</v>
      </c>
      <c r="H292" s="8"/>
      <c r="I292" s="9">
        <f t="shared" si="2"/>
        <v>42</v>
      </c>
      <c r="J292" s="8"/>
      <c r="K292" s="27"/>
      <c r="L292" s="9">
        <f t="shared" si="4"/>
        <v>42819.99454</v>
      </c>
      <c r="M292" s="27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28"/>
      <c r="B293" s="19">
        <v>42296.0</v>
      </c>
      <c r="C293" s="20">
        <v>42.0</v>
      </c>
      <c r="D293" s="26">
        <v>292.0</v>
      </c>
      <c r="E293" s="34">
        <f t="shared" si="30"/>
        <v>7176.225806</v>
      </c>
      <c r="F293" s="34">
        <f t="shared" si="31"/>
        <v>0.8709677419</v>
      </c>
      <c r="G293" s="35">
        <f t="shared" si="32"/>
        <v>7173.882692</v>
      </c>
      <c r="H293" s="8"/>
      <c r="I293" s="9">
        <f t="shared" si="2"/>
        <v>42</v>
      </c>
      <c r="J293" s="8"/>
      <c r="K293" s="27"/>
      <c r="L293" s="9">
        <f t="shared" si="4"/>
        <v>42819.99454</v>
      </c>
      <c r="M293" s="27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28"/>
      <c r="B294" s="19">
        <v>42297.0</v>
      </c>
      <c r="C294" s="20">
        <v>42.0</v>
      </c>
      <c r="D294" s="26">
        <v>293.0</v>
      </c>
      <c r="E294" s="34">
        <f t="shared" si="30"/>
        <v>7176.225806</v>
      </c>
      <c r="F294" s="34">
        <f t="shared" si="31"/>
        <v>0.8387096774</v>
      </c>
      <c r="G294" s="35">
        <f t="shared" si="32"/>
        <v>7173.296913</v>
      </c>
      <c r="H294" s="8"/>
      <c r="I294" s="9">
        <f t="shared" si="2"/>
        <v>42</v>
      </c>
      <c r="J294" s="8"/>
      <c r="K294" s="27"/>
      <c r="L294" s="9">
        <f t="shared" si="4"/>
        <v>42819.99454</v>
      </c>
      <c r="M294" s="27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28"/>
      <c r="B295" s="19">
        <v>42298.0</v>
      </c>
      <c r="C295" s="20">
        <v>42.0</v>
      </c>
      <c r="D295" s="26">
        <v>294.0</v>
      </c>
      <c r="E295" s="34">
        <f t="shared" si="30"/>
        <v>7176.225806</v>
      </c>
      <c r="F295" s="34">
        <f t="shared" si="31"/>
        <v>0.8064516129</v>
      </c>
      <c r="G295" s="35">
        <f t="shared" si="32"/>
        <v>7172.711134</v>
      </c>
      <c r="H295" s="8"/>
      <c r="I295" s="9">
        <f t="shared" si="2"/>
        <v>42</v>
      </c>
      <c r="J295" s="8"/>
      <c r="K295" s="27"/>
      <c r="L295" s="9">
        <f t="shared" si="4"/>
        <v>42819.99454</v>
      </c>
      <c r="M295" s="27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28"/>
      <c r="B296" s="19">
        <v>42299.0</v>
      </c>
      <c r="C296" s="20">
        <v>43.0</v>
      </c>
      <c r="D296" s="26">
        <v>295.0</v>
      </c>
      <c r="E296" s="34">
        <f t="shared" si="30"/>
        <v>7176.225806</v>
      </c>
      <c r="F296" s="34">
        <f t="shared" si="31"/>
        <v>0.7741935484</v>
      </c>
      <c r="G296" s="35">
        <f t="shared" si="32"/>
        <v>7172.125356</v>
      </c>
      <c r="H296" s="8"/>
      <c r="I296" s="9">
        <f t="shared" si="2"/>
        <v>43</v>
      </c>
      <c r="J296" s="22">
        <f>SUM(G296:G302)</f>
        <v>50192.57614</v>
      </c>
      <c r="K296" s="24">
        <v>50192.57614</v>
      </c>
      <c r="L296" s="9">
        <f t="shared" si="4"/>
        <v>42819.99454</v>
      </c>
      <c r="M296" s="24">
        <v>42819.99454</v>
      </c>
      <c r="N296" s="25">
        <v>13156.3126</v>
      </c>
      <c r="O296" s="25">
        <v>11799.49891</v>
      </c>
      <c r="P296" s="25">
        <v>3149.393944</v>
      </c>
      <c r="Q296" s="25">
        <v>22747.92602</v>
      </c>
      <c r="R296" s="18"/>
      <c r="S296" s="25">
        <v>11434.47629</v>
      </c>
      <c r="T296" s="25">
        <v>10096.48782</v>
      </c>
      <c r="U296" s="25">
        <v>2675.346799</v>
      </c>
      <c r="V296" s="25">
        <v>19574.41574</v>
      </c>
      <c r="W296" s="25">
        <v>1721.836312</v>
      </c>
      <c r="X296" s="25">
        <v>1703.011097</v>
      </c>
      <c r="Y296" s="25">
        <v>474.0471448</v>
      </c>
      <c r="Z296" s="25">
        <v>3173.510278</v>
      </c>
    </row>
    <row r="297">
      <c r="A297" s="28"/>
      <c r="B297" s="19">
        <v>42300.0</v>
      </c>
      <c r="C297" s="20">
        <v>43.0</v>
      </c>
      <c r="D297" s="26">
        <v>296.0</v>
      </c>
      <c r="E297" s="34">
        <f t="shared" si="30"/>
        <v>7176.225806</v>
      </c>
      <c r="F297" s="34">
        <f t="shared" si="31"/>
        <v>0.7419354839</v>
      </c>
      <c r="G297" s="35">
        <f t="shared" si="32"/>
        <v>7171.539577</v>
      </c>
      <c r="H297" s="8"/>
      <c r="I297" s="9">
        <f t="shared" si="2"/>
        <v>43</v>
      </c>
      <c r="J297" s="8"/>
      <c r="K297" s="27"/>
      <c r="L297" s="9">
        <f t="shared" si="4"/>
        <v>42819.99454</v>
      </c>
      <c r="M297" s="27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28"/>
      <c r="B298" s="19">
        <v>42301.0</v>
      </c>
      <c r="C298" s="20">
        <v>43.0</v>
      </c>
      <c r="D298" s="26">
        <v>297.0</v>
      </c>
      <c r="E298" s="34">
        <f t="shared" si="30"/>
        <v>7176.225806</v>
      </c>
      <c r="F298" s="34">
        <f t="shared" si="31"/>
        <v>0.7096774194</v>
      </c>
      <c r="G298" s="35">
        <f t="shared" si="32"/>
        <v>7170.953798</v>
      </c>
      <c r="H298" s="8"/>
      <c r="I298" s="9">
        <f t="shared" si="2"/>
        <v>43</v>
      </c>
      <c r="J298" s="8"/>
      <c r="K298" s="27"/>
      <c r="L298" s="9">
        <f t="shared" si="4"/>
        <v>42819.99454</v>
      </c>
      <c r="M298" s="27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28"/>
      <c r="B299" s="19">
        <v>42302.0</v>
      </c>
      <c r="C299" s="20">
        <v>43.0</v>
      </c>
      <c r="D299" s="26">
        <v>298.0</v>
      </c>
      <c r="E299" s="34">
        <f t="shared" si="30"/>
        <v>7176.225806</v>
      </c>
      <c r="F299" s="34">
        <f t="shared" si="31"/>
        <v>0.6774193548</v>
      </c>
      <c r="G299" s="35">
        <f t="shared" si="32"/>
        <v>7170.368019</v>
      </c>
      <c r="H299" s="8"/>
      <c r="I299" s="9">
        <f t="shared" si="2"/>
        <v>43</v>
      </c>
      <c r="J299" s="8"/>
      <c r="K299" s="27"/>
      <c r="L299" s="9">
        <f t="shared" si="4"/>
        <v>42819.99454</v>
      </c>
      <c r="M299" s="27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28"/>
      <c r="B300" s="19">
        <v>42303.0</v>
      </c>
      <c r="C300" s="20">
        <v>43.0</v>
      </c>
      <c r="D300" s="26">
        <v>299.0</v>
      </c>
      <c r="E300" s="34">
        <f t="shared" si="30"/>
        <v>7176.225806</v>
      </c>
      <c r="F300" s="34">
        <f t="shared" si="31"/>
        <v>0.6451612903</v>
      </c>
      <c r="G300" s="35">
        <f t="shared" si="32"/>
        <v>7169.782241</v>
      </c>
      <c r="H300" s="8"/>
      <c r="I300" s="9">
        <f t="shared" si="2"/>
        <v>43</v>
      </c>
      <c r="J300" s="8"/>
      <c r="K300" s="27"/>
      <c r="L300" s="9">
        <f t="shared" si="4"/>
        <v>42819.99454</v>
      </c>
      <c r="M300" s="27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28"/>
      <c r="B301" s="19">
        <v>42304.0</v>
      </c>
      <c r="C301" s="20">
        <v>43.0</v>
      </c>
      <c r="D301" s="26">
        <v>300.0</v>
      </c>
      <c r="E301" s="34">
        <f t="shared" si="30"/>
        <v>7176.225806</v>
      </c>
      <c r="F301" s="34">
        <f t="shared" si="31"/>
        <v>0.6129032258</v>
      </c>
      <c r="G301" s="35">
        <f t="shared" si="32"/>
        <v>7169.196462</v>
      </c>
      <c r="H301" s="8"/>
      <c r="I301" s="9">
        <f t="shared" si="2"/>
        <v>43</v>
      </c>
      <c r="J301" s="8"/>
      <c r="K301" s="27"/>
      <c r="L301" s="9">
        <f t="shared" si="4"/>
        <v>42819.99454</v>
      </c>
      <c r="M301" s="27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28"/>
      <c r="B302" s="19">
        <v>42305.0</v>
      </c>
      <c r="C302" s="20">
        <v>43.0</v>
      </c>
      <c r="D302" s="26">
        <v>301.0</v>
      </c>
      <c r="E302" s="34">
        <f t="shared" si="30"/>
        <v>7176.225806</v>
      </c>
      <c r="F302" s="34">
        <f t="shared" si="31"/>
        <v>0.5806451613</v>
      </c>
      <c r="G302" s="35">
        <f t="shared" si="32"/>
        <v>7168.610683</v>
      </c>
      <c r="H302" s="8"/>
      <c r="I302" s="9">
        <f t="shared" si="2"/>
        <v>43</v>
      </c>
      <c r="J302" s="8"/>
      <c r="K302" s="27"/>
      <c r="L302" s="9">
        <f t="shared" si="4"/>
        <v>42819.99454</v>
      </c>
      <c r="M302" s="27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28"/>
      <c r="B303" s="19">
        <v>42306.0</v>
      </c>
      <c r="C303" s="20">
        <v>44.0</v>
      </c>
      <c r="D303" s="26">
        <v>302.0</v>
      </c>
      <c r="E303" s="34">
        <f t="shared" si="30"/>
        <v>7176.225806</v>
      </c>
      <c r="F303" s="34">
        <f t="shared" si="31"/>
        <v>0.5483870968</v>
      </c>
      <c r="G303" s="35">
        <f t="shared" si="32"/>
        <v>7168.024905</v>
      </c>
      <c r="H303" s="8"/>
      <c r="I303" s="9">
        <f t="shared" si="2"/>
        <v>44</v>
      </c>
      <c r="J303" s="22">
        <f>SUM(G303:G309)</f>
        <v>50163.87298</v>
      </c>
      <c r="K303" s="24">
        <v>50163.87298</v>
      </c>
      <c r="L303" s="9">
        <f t="shared" si="4"/>
        <v>42819.99454</v>
      </c>
      <c r="M303" s="24">
        <v>42819.99454</v>
      </c>
      <c r="N303" s="25">
        <v>13805.07957</v>
      </c>
      <c r="O303" s="25">
        <v>12068.38828</v>
      </c>
      <c r="P303" s="25">
        <v>2986.456868</v>
      </c>
      <c r="Q303" s="25">
        <v>22565.30911</v>
      </c>
      <c r="R303" s="18"/>
      <c r="S303" s="25">
        <v>11696.10932</v>
      </c>
      <c r="T303" s="25">
        <v>10169.21951</v>
      </c>
      <c r="U303" s="25">
        <v>2533.9597</v>
      </c>
      <c r="V303" s="25">
        <v>18299.95889</v>
      </c>
      <c r="W303" s="25">
        <v>2108.970251</v>
      </c>
      <c r="X303" s="25">
        <v>1899.16877</v>
      </c>
      <c r="Y303" s="25">
        <v>452.4971675</v>
      </c>
      <c r="Z303" s="25">
        <v>4265.350226</v>
      </c>
    </row>
    <row r="304">
      <c r="A304" s="28"/>
      <c r="B304" s="19">
        <v>42307.0</v>
      </c>
      <c r="C304" s="20">
        <v>44.0</v>
      </c>
      <c r="D304" s="26">
        <v>303.0</v>
      </c>
      <c r="E304" s="34">
        <f t="shared" si="30"/>
        <v>7176.225806</v>
      </c>
      <c r="F304" s="34">
        <f t="shared" si="31"/>
        <v>0.5161290323</v>
      </c>
      <c r="G304" s="35">
        <f t="shared" si="32"/>
        <v>7167.439126</v>
      </c>
      <c r="H304" s="8"/>
      <c r="I304" s="9">
        <f t="shared" si="2"/>
        <v>44</v>
      </c>
      <c r="J304" s="8"/>
      <c r="K304" s="27"/>
      <c r="L304" s="9">
        <f t="shared" si="4"/>
        <v>42819.99454</v>
      </c>
      <c r="M304" s="27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28"/>
      <c r="B305" s="19">
        <v>42308.0</v>
      </c>
      <c r="C305" s="20">
        <v>44.0</v>
      </c>
      <c r="D305" s="26">
        <v>304.0</v>
      </c>
      <c r="E305" s="34">
        <f t="shared" si="30"/>
        <v>7176.225806</v>
      </c>
      <c r="F305" s="34">
        <f t="shared" si="31"/>
        <v>0.4838709677</v>
      </c>
      <c r="G305" s="35">
        <f t="shared" si="32"/>
        <v>7166.853347</v>
      </c>
      <c r="H305" s="8"/>
      <c r="I305" s="9">
        <f t="shared" si="2"/>
        <v>44</v>
      </c>
      <c r="J305" s="8"/>
      <c r="K305" s="27"/>
      <c r="L305" s="9">
        <f t="shared" si="4"/>
        <v>42819.99454</v>
      </c>
      <c r="M305" s="27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28"/>
      <c r="B306" s="19">
        <v>42309.0</v>
      </c>
      <c r="C306" s="20">
        <v>44.0</v>
      </c>
      <c r="D306" s="26">
        <v>305.0</v>
      </c>
      <c r="E306" s="34">
        <f>A308/30</f>
        <v>7158.066667</v>
      </c>
      <c r="F306" s="34">
        <f t="shared" si="31"/>
        <v>0.4516129032</v>
      </c>
      <c r="G306" s="35">
        <f t="shared" si="32"/>
        <v>7166.267569</v>
      </c>
      <c r="H306" s="8"/>
      <c r="I306" s="9">
        <f t="shared" si="2"/>
        <v>44</v>
      </c>
      <c r="J306" s="8"/>
      <c r="K306" s="27"/>
      <c r="L306" s="9">
        <f t="shared" si="4"/>
        <v>42819.99454</v>
      </c>
      <c r="M306" s="27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3" t="s">
        <v>74</v>
      </c>
      <c r="B307" s="19">
        <v>42310.0</v>
      </c>
      <c r="C307" s="20">
        <v>44.0</v>
      </c>
      <c r="D307" s="26">
        <v>306.0</v>
      </c>
      <c r="E307" s="34">
        <f>A308/30</f>
        <v>7158.066667</v>
      </c>
      <c r="F307" s="34">
        <f t="shared" si="31"/>
        <v>0.4193548387</v>
      </c>
      <c r="G307" s="35">
        <f t="shared" si="32"/>
        <v>7165.68179</v>
      </c>
      <c r="H307" s="8"/>
      <c r="I307" s="9">
        <f t="shared" si="2"/>
        <v>44</v>
      </c>
      <c r="J307" s="8"/>
      <c r="K307" s="27"/>
      <c r="L307" s="9">
        <f t="shared" si="4"/>
        <v>42819.99454</v>
      </c>
      <c r="M307" s="27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20">
        <v>214742.0</v>
      </c>
      <c r="B308" s="19">
        <v>42311.0</v>
      </c>
      <c r="C308" s="20">
        <v>44.0</v>
      </c>
      <c r="D308" s="26">
        <v>307.0</v>
      </c>
      <c r="E308" s="34">
        <f t="shared" ref="E308:E335" si="33">E307</f>
        <v>7158.066667</v>
      </c>
      <c r="F308" s="34">
        <f t="shared" si="31"/>
        <v>0.3870967742</v>
      </c>
      <c r="G308" s="35">
        <f t="shared" si="32"/>
        <v>7165.096011</v>
      </c>
      <c r="H308" s="8"/>
      <c r="I308" s="9">
        <f t="shared" si="2"/>
        <v>44</v>
      </c>
      <c r="J308" s="8"/>
      <c r="K308" s="27"/>
      <c r="L308" s="9">
        <f t="shared" si="4"/>
        <v>42819.99454</v>
      </c>
      <c r="M308" s="27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28"/>
      <c r="B309" s="19">
        <v>42312.0</v>
      </c>
      <c r="C309" s="20">
        <v>44.0</v>
      </c>
      <c r="D309" s="26">
        <v>308.0</v>
      </c>
      <c r="E309" s="34">
        <f t="shared" si="33"/>
        <v>7158.066667</v>
      </c>
      <c r="F309" s="34">
        <f t="shared" si="31"/>
        <v>0.3548387097</v>
      </c>
      <c r="G309" s="35">
        <f t="shared" si="32"/>
        <v>7164.510232</v>
      </c>
      <c r="H309" s="8"/>
      <c r="I309" s="9">
        <f t="shared" si="2"/>
        <v>44</v>
      </c>
      <c r="J309" s="8"/>
      <c r="K309" s="27"/>
      <c r="L309" s="9">
        <f t="shared" si="4"/>
        <v>42819.99454</v>
      </c>
      <c r="M309" s="27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28"/>
      <c r="B310" s="19">
        <v>42313.0</v>
      </c>
      <c r="C310" s="20">
        <v>45.0</v>
      </c>
      <c r="D310" s="26">
        <v>309.0</v>
      </c>
      <c r="E310" s="34">
        <f t="shared" si="33"/>
        <v>7158.066667</v>
      </c>
      <c r="F310" s="34">
        <f t="shared" si="31"/>
        <v>0.3225806452</v>
      </c>
      <c r="G310" s="35">
        <f t="shared" si="32"/>
        <v>7163.924454</v>
      </c>
      <c r="H310" s="8"/>
      <c r="I310" s="9">
        <f t="shared" si="2"/>
        <v>45</v>
      </c>
      <c r="J310" s="22">
        <f>SUM(G310:G316)</f>
        <v>50135.16982</v>
      </c>
      <c r="K310" s="24">
        <v>50135.16982</v>
      </c>
      <c r="L310" s="9">
        <f t="shared" si="4"/>
        <v>42819.99454</v>
      </c>
      <c r="M310" s="24">
        <v>42819.99454</v>
      </c>
      <c r="N310" s="25">
        <v>13620.83188</v>
      </c>
      <c r="O310" s="25">
        <v>11891.40047</v>
      </c>
      <c r="P310" s="25">
        <v>2975.173962</v>
      </c>
      <c r="Q310" s="25">
        <v>21696.2439</v>
      </c>
      <c r="R310" s="18"/>
      <c r="S310" s="25">
        <v>11869.80765</v>
      </c>
      <c r="T310" s="25">
        <v>9825.440648</v>
      </c>
      <c r="U310" s="25">
        <v>2724.297481</v>
      </c>
      <c r="V310" s="25">
        <v>18734.18773</v>
      </c>
      <c r="W310" s="25">
        <v>1751.024224</v>
      </c>
      <c r="X310" s="25">
        <v>2065.959827</v>
      </c>
      <c r="Y310" s="25">
        <v>250.8764812</v>
      </c>
      <c r="Z310" s="25">
        <v>2962.056167</v>
      </c>
    </row>
    <row r="311">
      <c r="A311" s="28"/>
      <c r="B311" s="19">
        <v>42314.0</v>
      </c>
      <c r="C311" s="20">
        <v>45.0</v>
      </c>
      <c r="D311" s="26">
        <v>310.0</v>
      </c>
      <c r="E311" s="34">
        <f t="shared" si="33"/>
        <v>7158.066667</v>
      </c>
      <c r="F311" s="34">
        <f t="shared" si="31"/>
        <v>0.2903225806</v>
      </c>
      <c r="G311" s="35">
        <f t="shared" si="32"/>
        <v>7163.338675</v>
      </c>
      <c r="H311" s="8"/>
      <c r="I311" s="9">
        <f t="shared" si="2"/>
        <v>45</v>
      </c>
      <c r="J311" s="8"/>
      <c r="K311" s="27"/>
      <c r="L311" s="9">
        <f t="shared" si="4"/>
        <v>42819.99454</v>
      </c>
      <c r="M311" s="27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28"/>
      <c r="B312" s="19">
        <v>42315.0</v>
      </c>
      <c r="C312" s="20">
        <v>45.0</v>
      </c>
      <c r="D312" s="26">
        <v>311.0</v>
      </c>
      <c r="E312" s="34">
        <f t="shared" si="33"/>
        <v>7158.066667</v>
      </c>
      <c r="F312" s="34">
        <f t="shared" si="31"/>
        <v>0.2580645161</v>
      </c>
      <c r="G312" s="35">
        <f t="shared" si="32"/>
        <v>7162.752896</v>
      </c>
      <c r="H312" s="8"/>
      <c r="I312" s="9">
        <f t="shared" si="2"/>
        <v>45</v>
      </c>
      <c r="J312" s="8"/>
      <c r="K312" s="27"/>
      <c r="L312" s="9">
        <f t="shared" si="4"/>
        <v>42819.99454</v>
      </c>
      <c r="M312" s="27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28"/>
      <c r="B313" s="19">
        <v>42316.0</v>
      </c>
      <c r="C313" s="20">
        <v>45.0</v>
      </c>
      <c r="D313" s="26">
        <v>312.0</v>
      </c>
      <c r="E313" s="34">
        <f t="shared" si="33"/>
        <v>7158.066667</v>
      </c>
      <c r="F313" s="34">
        <f t="shared" si="31"/>
        <v>0.2258064516</v>
      </c>
      <c r="G313" s="35">
        <f t="shared" si="32"/>
        <v>7162.167118</v>
      </c>
      <c r="H313" s="8"/>
      <c r="I313" s="9">
        <f t="shared" si="2"/>
        <v>45</v>
      </c>
      <c r="J313" s="8"/>
      <c r="K313" s="27"/>
      <c r="L313" s="9">
        <f t="shared" si="4"/>
        <v>42819.99454</v>
      </c>
      <c r="M313" s="27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28"/>
      <c r="B314" s="19">
        <v>42317.0</v>
      </c>
      <c r="C314" s="20">
        <v>45.0</v>
      </c>
      <c r="D314" s="26">
        <v>313.0</v>
      </c>
      <c r="E314" s="34">
        <f t="shared" si="33"/>
        <v>7158.066667</v>
      </c>
      <c r="F314" s="34">
        <f t="shared" si="31"/>
        <v>0.1935483871</v>
      </c>
      <c r="G314" s="35">
        <f t="shared" si="32"/>
        <v>7161.581339</v>
      </c>
      <c r="H314" s="8"/>
      <c r="I314" s="9">
        <f t="shared" si="2"/>
        <v>45</v>
      </c>
      <c r="J314" s="8"/>
      <c r="K314" s="27"/>
      <c r="L314" s="9">
        <f t="shared" si="4"/>
        <v>42819.99454</v>
      </c>
      <c r="M314" s="27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28"/>
      <c r="B315" s="19">
        <v>42318.0</v>
      </c>
      <c r="C315" s="20">
        <v>45.0</v>
      </c>
      <c r="D315" s="26">
        <v>314.0</v>
      </c>
      <c r="E315" s="34">
        <f t="shared" si="33"/>
        <v>7158.066667</v>
      </c>
      <c r="F315" s="34">
        <f t="shared" si="31"/>
        <v>0.1612903226</v>
      </c>
      <c r="G315" s="35">
        <f t="shared" si="32"/>
        <v>7160.99556</v>
      </c>
      <c r="H315" s="8"/>
      <c r="I315" s="9">
        <f t="shared" si="2"/>
        <v>45</v>
      </c>
      <c r="J315" s="8"/>
      <c r="K315" s="27"/>
      <c r="L315" s="9">
        <f t="shared" si="4"/>
        <v>42819.99454</v>
      </c>
      <c r="M315" s="27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28"/>
      <c r="B316" s="19">
        <v>42319.0</v>
      </c>
      <c r="C316" s="20">
        <v>45.0</v>
      </c>
      <c r="D316" s="26">
        <v>315.0</v>
      </c>
      <c r="E316" s="34">
        <f t="shared" si="33"/>
        <v>7158.066667</v>
      </c>
      <c r="F316" s="34">
        <f t="shared" si="31"/>
        <v>0.1290322581</v>
      </c>
      <c r="G316" s="35">
        <f t="shared" si="32"/>
        <v>7160.409781</v>
      </c>
      <c r="H316" s="8"/>
      <c r="I316" s="9">
        <f t="shared" si="2"/>
        <v>45</v>
      </c>
      <c r="J316" s="8"/>
      <c r="K316" s="27"/>
      <c r="L316" s="9">
        <f t="shared" si="4"/>
        <v>42819.99454</v>
      </c>
      <c r="M316" s="27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28"/>
      <c r="B317" s="19">
        <v>42320.0</v>
      </c>
      <c r="C317" s="20">
        <v>46.0</v>
      </c>
      <c r="D317" s="26">
        <v>316.0</v>
      </c>
      <c r="E317" s="34">
        <f t="shared" si="33"/>
        <v>7158.066667</v>
      </c>
      <c r="F317" s="34">
        <f t="shared" si="31"/>
        <v>0.09677419355</v>
      </c>
      <c r="G317" s="35">
        <f t="shared" si="32"/>
        <v>7159.824003</v>
      </c>
      <c r="H317" s="8"/>
      <c r="I317" s="9">
        <f t="shared" si="2"/>
        <v>46</v>
      </c>
      <c r="J317" s="22">
        <f>SUM(G317:G323)</f>
        <v>50032.65833</v>
      </c>
      <c r="K317" s="24">
        <v>50032.65833</v>
      </c>
      <c r="L317" s="9">
        <f t="shared" si="4"/>
        <v>42819.99454</v>
      </c>
      <c r="M317" s="24">
        <v>42819.99454</v>
      </c>
      <c r="N317" s="25">
        <v>13923.39189</v>
      </c>
      <c r="O317" s="25">
        <v>11996.31239</v>
      </c>
      <c r="P317" s="25">
        <v>2903.302194</v>
      </c>
      <c r="Q317" s="25">
        <v>21364.36845</v>
      </c>
      <c r="R317" s="18"/>
      <c r="S317" s="25">
        <v>11703.29934</v>
      </c>
      <c r="T317" s="25">
        <v>10276.55603</v>
      </c>
      <c r="U317" s="25">
        <v>2528.099563</v>
      </c>
      <c r="V317" s="25">
        <v>19305.56038</v>
      </c>
      <c r="W317" s="25">
        <v>2220.092555</v>
      </c>
      <c r="X317" s="25">
        <v>1719.756368</v>
      </c>
      <c r="Y317" s="25">
        <v>375.2026308</v>
      </c>
      <c r="Z317" s="25">
        <v>2058.80807</v>
      </c>
    </row>
    <row r="318">
      <c r="A318" s="28"/>
      <c r="B318" s="19">
        <v>42321.0</v>
      </c>
      <c r="C318" s="20">
        <v>46.0</v>
      </c>
      <c r="D318" s="26">
        <v>317.0</v>
      </c>
      <c r="E318" s="34">
        <f t="shared" si="33"/>
        <v>7158.066667</v>
      </c>
      <c r="F318" s="34">
        <f t="shared" si="31"/>
        <v>0.06451612903</v>
      </c>
      <c r="G318" s="35">
        <f t="shared" si="32"/>
        <v>7159.238224</v>
      </c>
      <c r="H318" s="8"/>
      <c r="I318" s="9">
        <f t="shared" si="2"/>
        <v>46</v>
      </c>
      <c r="J318" s="8"/>
      <c r="K318" s="27"/>
      <c r="L318" s="9">
        <f t="shared" si="4"/>
        <v>42819.99454</v>
      </c>
      <c r="M318" s="27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28"/>
      <c r="B319" s="19">
        <v>42322.0</v>
      </c>
      <c r="C319" s="20">
        <v>46.0</v>
      </c>
      <c r="D319" s="26">
        <v>318.0</v>
      </c>
      <c r="E319" s="34">
        <f t="shared" si="33"/>
        <v>7158.066667</v>
      </c>
      <c r="F319" s="34">
        <f t="shared" si="31"/>
        <v>0.03225806452</v>
      </c>
      <c r="G319" s="35">
        <f t="shared" si="32"/>
        <v>7158.652445</v>
      </c>
      <c r="H319" s="8"/>
      <c r="I319" s="9">
        <f t="shared" si="2"/>
        <v>46</v>
      </c>
      <c r="J319" s="8"/>
      <c r="K319" s="27"/>
      <c r="L319" s="9">
        <f t="shared" si="4"/>
        <v>42819.99454</v>
      </c>
      <c r="M319" s="27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28"/>
      <c r="B320" s="19">
        <v>42323.0</v>
      </c>
      <c r="C320" s="20">
        <v>46.0</v>
      </c>
      <c r="D320" s="26">
        <v>319.0</v>
      </c>
      <c r="E320" s="34">
        <f t="shared" si="33"/>
        <v>7158.066667</v>
      </c>
      <c r="F320" s="34">
        <f t="shared" si="31"/>
        <v>0</v>
      </c>
      <c r="G320" s="35">
        <f>E320</f>
        <v>7158.066667</v>
      </c>
      <c r="H320" s="8"/>
      <c r="I320" s="9">
        <f t="shared" si="2"/>
        <v>46</v>
      </c>
      <c r="J320" s="8"/>
      <c r="K320" s="27"/>
      <c r="L320" s="9">
        <f t="shared" si="4"/>
        <v>42819.99454</v>
      </c>
      <c r="M320" s="27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3"/>
      <c r="B321" s="19">
        <v>42324.0</v>
      </c>
      <c r="C321" s="20">
        <v>46.0</v>
      </c>
      <c r="D321" s="26">
        <v>320.0</v>
      </c>
      <c r="E321" s="34">
        <f t="shared" si="33"/>
        <v>7158.066667</v>
      </c>
      <c r="F321" s="34">
        <f t="shared" ref="F321:F350" si="34">abs((D321-349)/(349-319))</f>
        <v>0.9666666667</v>
      </c>
      <c r="G321" s="35">
        <f t="shared" ref="G321:G350" si="35">E306*F321+(1-F321)*E336</f>
        <v>7145.179498</v>
      </c>
      <c r="H321" s="8"/>
      <c r="I321" s="9">
        <f t="shared" si="2"/>
        <v>46</v>
      </c>
      <c r="J321" s="8"/>
      <c r="K321" s="27"/>
      <c r="L321" s="9">
        <f t="shared" si="4"/>
        <v>42819.99454</v>
      </c>
      <c r="M321" s="27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3"/>
      <c r="B322" s="19">
        <v>42325.0</v>
      </c>
      <c r="C322" s="20">
        <v>46.0</v>
      </c>
      <c r="D322" s="26">
        <v>321.0</v>
      </c>
      <c r="E322" s="34">
        <f t="shared" si="33"/>
        <v>7158.066667</v>
      </c>
      <c r="F322" s="34">
        <f t="shared" si="34"/>
        <v>0.9333333333</v>
      </c>
      <c r="G322" s="35">
        <f t="shared" si="35"/>
        <v>7132.29233</v>
      </c>
      <c r="H322" s="8"/>
      <c r="I322" s="9">
        <f t="shared" si="2"/>
        <v>46</v>
      </c>
      <c r="J322" s="8"/>
      <c r="K322" s="27"/>
      <c r="L322" s="9">
        <f t="shared" si="4"/>
        <v>42819.99454</v>
      </c>
      <c r="M322" s="27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28"/>
      <c r="B323" s="19">
        <v>42326.0</v>
      </c>
      <c r="C323" s="20">
        <v>46.0</v>
      </c>
      <c r="D323" s="26">
        <v>322.0</v>
      </c>
      <c r="E323" s="34">
        <f t="shared" si="33"/>
        <v>7158.066667</v>
      </c>
      <c r="F323" s="34">
        <f t="shared" si="34"/>
        <v>0.9</v>
      </c>
      <c r="G323" s="35">
        <f t="shared" si="35"/>
        <v>7119.405161</v>
      </c>
      <c r="H323" s="8"/>
      <c r="I323" s="9">
        <f t="shared" si="2"/>
        <v>46</v>
      </c>
      <c r="J323" s="8"/>
      <c r="K323" s="27"/>
      <c r="L323" s="9">
        <f t="shared" si="4"/>
        <v>42819.99454</v>
      </c>
      <c r="M323" s="27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28"/>
      <c r="B324" s="19">
        <v>42327.0</v>
      </c>
      <c r="C324" s="20">
        <v>47.0</v>
      </c>
      <c r="D324" s="26">
        <v>323.0</v>
      </c>
      <c r="E324" s="34">
        <f t="shared" si="33"/>
        <v>7158.066667</v>
      </c>
      <c r="F324" s="34">
        <f t="shared" si="34"/>
        <v>0.8666666667</v>
      </c>
      <c r="G324" s="35">
        <f t="shared" si="35"/>
        <v>7106.517993</v>
      </c>
      <c r="H324" s="8"/>
      <c r="I324" s="9">
        <f t="shared" si="2"/>
        <v>47</v>
      </c>
      <c r="J324" s="22">
        <f>SUM(G324:G330)</f>
        <v>49474.99541</v>
      </c>
      <c r="K324" s="24">
        <v>49474.99541</v>
      </c>
      <c r="L324" s="9">
        <f t="shared" si="4"/>
        <v>42819.99454</v>
      </c>
      <c r="M324" s="24">
        <v>42819.99454</v>
      </c>
      <c r="N324" s="25">
        <v>13626.17932</v>
      </c>
      <c r="O324" s="25">
        <v>12227.72604</v>
      </c>
      <c r="P324" s="25">
        <v>2891.215987</v>
      </c>
      <c r="Q324" s="25">
        <v>22498.46772</v>
      </c>
      <c r="R324" s="18"/>
      <c r="S324" s="25">
        <v>11380.89512</v>
      </c>
      <c r="T324" s="25">
        <v>10496.34219</v>
      </c>
      <c r="U324" s="25">
        <v>2572.304675</v>
      </c>
      <c r="V324" s="25">
        <v>19459.18421</v>
      </c>
      <c r="W324" s="25">
        <v>2245.284203</v>
      </c>
      <c r="X324" s="25">
        <v>1731.383844</v>
      </c>
      <c r="Y324" s="25">
        <v>318.9113123</v>
      </c>
      <c r="Z324" s="25">
        <v>3039.283504</v>
      </c>
    </row>
    <row r="325">
      <c r="A325" s="28"/>
      <c r="B325" s="19">
        <v>42328.0</v>
      </c>
      <c r="C325" s="20">
        <v>47.0</v>
      </c>
      <c r="D325" s="26">
        <v>324.0</v>
      </c>
      <c r="E325" s="34">
        <f t="shared" si="33"/>
        <v>7158.066667</v>
      </c>
      <c r="F325" s="34">
        <f t="shared" si="34"/>
        <v>0.8333333333</v>
      </c>
      <c r="G325" s="35">
        <f t="shared" si="35"/>
        <v>7093.630824</v>
      </c>
      <c r="H325" s="8"/>
      <c r="I325" s="9">
        <f t="shared" si="2"/>
        <v>47</v>
      </c>
      <c r="J325" s="8"/>
      <c r="K325" s="27"/>
      <c r="L325" s="9">
        <f t="shared" si="4"/>
        <v>42819.99454</v>
      </c>
      <c r="M325" s="27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28"/>
      <c r="B326" s="19">
        <v>42329.0</v>
      </c>
      <c r="C326" s="20">
        <v>47.0</v>
      </c>
      <c r="D326" s="26">
        <v>325.0</v>
      </c>
      <c r="E326" s="34">
        <f t="shared" si="33"/>
        <v>7158.066667</v>
      </c>
      <c r="F326" s="34">
        <f t="shared" si="34"/>
        <v>0.8</v>
      </c>
      <c r="G326" s="35">
        <f t="shared" si="35"/>
        <v>7080.743656</v>
      </c>
      <c r="H326" s="8"/>
      <c r="I326" s="9">
        <f t="shared" si="2"/>
        <v>47</v>
      </c>
      <c r="J326" s="8"/>
      <c r="K326" s="27"/>
      <c r="L326" s="9">
        <f t="shared" si="4"/>
        <v>42819.99454</v>
      </c>
      <c r="M326" s="27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28"/>
      <c r="B327" s="19">
        <v>42330.0</v>
      </c>
      <c r="C327" s="20">
        <v>47.0</v>
      </c>
      <c r="D327" s="26">
        <v>326.0</v>
      </c>
      <c r="E327" s="34">
        <f t="shared" si="33"/>
        <v>7158.066667</v>
      </c>
      <c r="F327" s="34">
        <f t="shared" si="34"/>
        <v>0.7666666667</v>
      </c>
      <c r="G327" s="35">
        <f t="shared" si="35"/>
        <v>7067.856487</v>
      </c>
      <c r="H327" s="8"/>
      <c r="I327" s="9">
        <f t="shared" si="2"/>
        <v>47</v>
      </c>
      <c r="J327" s="8"/>
      <c r="K327" s="27"/>
      <c r="L327" s="9">
        <f t="shared" si="4"/>
        <v>42819.99454</v>
      </c>
      <c r="M327" s="27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28"/>
      <c r="B328" s="19">
        <v>42331.0</v>
      </c>
      <c r="C328" s="20">
        <v>47.0</v>
      </c>
      <c r="D328" s="26">
        <v>327.0</v>
      </c>
      <c r="E328" s="34">
        <f t="shared" si="33"/>
        <v>7158.066667</v>
      </c>
      <c r="F328" s="34">
        <f t="shared" si="34"/>
        <v>0.7333333333</v>
      </c>
      <c r="G328" s="35">
        <f t="shared" si="35"/>
        <v>7054.969319</v>
      </c>
      <c r="H328" s="8"/>
      <c r="I328" s="9">
        <f t="shared" si="2"/>
        <v>47</v>
      </c>
      <c r="J328" s="8"/>
      <c r="K328" s="27"/>
      <c r="L328" s="9">
        <f t="shared" si="4"/>
        <v>42819.99454</v>
      </c>
      <c r="M328" s="27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28"/>
      <c r="B329" s="19">
        <v>42332.0</v>
      </c>
      <c r="C329" s="20">
        <v>47.0</v>
      </c>
      <c r="D329" s="26">
        <v>328.0</v>
      </c>
      <c r="E329" s="34">
        <f t="shared" si="33"/>
        <v>7158.066667</v>
      </c>
      <c r="F329" s="34">
        <f t="shared" si="34"/>
        <v>0.7</v>
      </c>
      <c r="G329" s="35">
        <f t="shared" si="35"/>
        <v>7042.082151</v>
      </c>
      <c r="H329" s="8"/>
      <c r="I329" s="9">
        <f t="shared" si="2"/>
        <v>47</v>
      </c>
      <c r="J329" s="8"/>
      <c r="K329" s="27"/>
      <c r="L329" s="9">
        <f t="shared" si="4"/>
        <v>42819.99454</v>
      </c>
      <c r="M329" s="27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28"/>
      <c r="B330" s="19">
        <v>42333.0</v>
      </c>
      <c r="C330" s="20">
        <v>47.0</v>
      </c>
      <c r="D330" s="26">
        <v>329.0</v>
      </c>
      <c r="E330" s="34">
        <f t="shared" si="33"/>
        <v>7158.066667</v>
      </c>
      <c r="F330" s="34">
        <f t="shared" si="34"/>
        <v>0.6666666667</v>
      </c>
      <c r="G330" s="35">
        <f t="shared" si="35"/>
        <v>7029.194982</v>
      </c>
      <c r="H330" s="8"/>
      <c r="I330" s="9">
        <f t="shared" si="2"/>
        <v>47</v>
      </c>
      <c r="J330" s="8"/>
      <c r="K330" s="27"/>
      <c r="L330" s="9">
        <f t="shared" si="4"/>
        <v>42819.99454</v>
      </c>
      <c r="M330" s="27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28"/>
      <c r="B331" s="19">
        <v>42334.0</v>
      </c>
      <c r="C331" s="20">
        <v>48.0</v>
      </c>
      <c r="D331" s="26">
        <v>330.0</v>
      </c>
      <c r="E331" s="34">
        <f t="shared" si="33"/>
        <v>7158.066667</v>
      </c>
      <c r="F331" s="34">
        <f t="shared" si="34"/>
        <v>0.6333333333</v>
      </c>
      <c r="G331" s="35">
        <f t="shared" si="35"/>
        <v>7016.307814</v>
      </c>
      <c r="H331" s="8"/>
      <c r="I331" s="9">
        <f t="shared" si="2"/>
        <v>48</v>
      </c>
      <c r="J331" s="22">
        <f>SUM(G331:G337)</f>
        <v>48843.52416</v>
      </c>
      <c r="K331" s="24">
        <v>48843.52416</v>
      </c>
      <c r="L331" s="9">
        <f t="shared" si="4"/>
        <v>42819.99454</v>
      </c>
      <c r="M331" s="24">
        <v>42819.99454</v>
      </c>
      <c r="N331" s="25">
        <v>13336.91611</v>
      </c>
      <c r="O331" s="25">
        <v>11414.40582</v>
      </c>
      <c r="P331" s="25">
        <v>3016.377091</v>
      </c>
      <c r="Q331" s="25">
        <v>20696.95441</v>
      </c>
      <c r="R331" s="18"/>
      <c r="S331" s="25">
        <v>11930.45884</v>
      </c>
      <c r="T331" s="25">
        <v>10347.22981</v>
      </c>
      <c r="U331" s="25">
        <v>2660.894984</v>
      </c>
      <c r="V331" s="25">
        <v>19267.07108</v>
      </c>
      <c r="W331" s="25">
        <v>1406.45727</v>
      </c>
      <c r="X331" s="25">
        <v>1067.176011</v>
      </c>
      <c r="Y331" s="25">
        <v>355.4821071</v>
      </c>
      <c r="Z331" s="25">
        <v>1429.883335</v>
      </c>
    </row>
    <row r="332">
      <c r="A332" s="28"/>
      <c r="B332" s="19">
        <v>42335.0</v>
      </c>
      <c r="C332" s="20">
        <v>48.0</v>
      </c>
      <c r="D332" s="26">
        <v>331.0</v>
      </c>
      <c r="E332" s="34">
        <f t="shared" si="33"/>
        <v>7158.066667</v>
      </c>
      <c r="F332" s="34">
        <f t="shared" si="34"/>
        <v>0.6</v>
      </c>
      <c r="G332" s="35">
        <f t="shared" si="35"/>
        <v>7003.420645</v>
      </c>
      <c r="H332" s="8"/>
      <c r="I332" s="9">
        <f t="shared" si="2"/>
        <v>48</v>
      </c>
      <c r="J332" s="8"/>
      <c r="K332" s="27"/>
      <c r="L332" s="9">
        <f t="shared" si="4"/>
        <v>42819.99454</v>
      </c>
      <c r="M332" s="27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28"/>
      <c r="B333" s="19">
        <v>42336.0</v>
      </c>
      <c r="C333" s="20">
        <v>48.0</v>
      </c>
      <c r="D333" s="26">
        <v>332.0</v>
      </c>
      <c r="E333" s="34">
        <f t="shared" si="33"/>
        <v>7158.066667</v>
      </c>
      <c r="F333" s="34">
        <f t="shared" si="34"/>
        <v>0.5666666667</v>
      </c>
      <c r="G333" s="35">
        <f t="shared" si="35"/>
        <v>6990.533477</v>
      </c>
      <c r="H333" s="8"/>
      <c r="I333" s="9">
        <f t="shared" si="2"/>
        <v>48</v>
      </c>
      <c r="J333" s="8"/>
      <c r="K333" s="27"/>
      <c r="L333" s="9">
        <f t="shared" si="4"/>
        <v>42819.99454</v>
      </c>
      <c r="M333" s="27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28"/>
      <c r="B334" s="19">
        <v>42337.0</v>
      </c>
      <c r="C334" s="20">
        <v>48.0</v>
      </c>
      <c r="D334" s="26">
        <v>333.0</v>
      </c>
      <c r="E334" s="34">
        <f t="shared" si="33"/>
        <v>7158.066667</v>
      </c>
      <c r="F334" s="34">
        <f t="shared" si="34"/>
        <v>0.5333333333</v>
      </c>
      <c r="G334" s="35">
        <f t="shared" si="35"/>
        <v>6977.646308</v>
      </c>
      <c r="H334" s="8"/>
      <c r="I334" s="9">
        <f t="shared" si="2"/>
        <v>48</v>
      </c>
      <c r="J334" s="8"/>
      <c r="K334" s="27"/>
      <c r="L334" s="9">
        <f t="shared" si="4"/>
        <v>42819.99454</v>
      </c>
      <c r="M334" s="27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28"/>
      <c r="B335" s="19">
        <v>42338.0</v>
      </c>
      <c r="C335" s="20">
        <v>48.0</v>
      </c>
      <c r="D335" s="26">
        <v>334.0</v>
      </c>
      <c r="E335" s="34">
        <f t="shared" si="33"/>
        <v>7158.066667</v>
      </c>
      <c r="F335" s="34">
        <f t="shared" si="34"/>
        <v>0.5</v>
      </c>
      <c r="G335" s="35">
        <f t="shared" si="35"/>
        <v>6964.75914</v>
      </c>
      <c r="H335" s="8"/>
      <c r="I335" s="9">
        <f t="shared" si="2"/>
        <v>48</v>
      </c>
      <c r="J335" s="8"/>
      <c r="K335" s="27"/>
      <c r="L335" s="9">
        <f t="shared" si="4"/>
        <v>42819.99454</v>
      </c>
      <c r="M335" s="27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28"/>
      <c r="B336" s="19">
        <v>42339.0</v>
      </c>
      <c r="C336" s="20">
        <v>48.0</v>
      </c>
      <c r="D336" s="26">
        <v>335.0</v>
      </c>
      <c r="E336" s="34">
        <f>A338/31</f>
        <v>6771.451613</v>
      </c>
      <c r="F336" s="34">
        <f t="shared" si="34"/>
        <v>0.4666666667</v>
      </c>
      <c r="G336" s="35">
        <f t="shared" si="35"/>
        <v>6951.871971</v>
      </c>
      <c r="H336" s="8"/>
      <c r="I336" s="9">
        <f t="shared" si="2"/>
        <v>48</v>
      </c>
      <c r="J336" s="8"/>
      <c r="K336" s="27"/>
      <c r="L336" s="9">
        <f t="shared" si="4"/>
        <v>42819.99454</v>
      </c>
      <c r="M336" s="27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3" t="s">
        <v>75</v>
      </c>
      <c r="B337" s="19">
        <v>42340.0</v>
      </c>
      <c r="C337" s="20">
        <v>48.0</v>
      </c>
      <c r="D337" s="26">
        <v>336.0</v>
      </c>
      <c r="E337" s="34">
        <f>A338/31</f>
        <v>6771.451613</v>
      </c>
      <c r="F337" s="34">
        <f t="shared" si="34"/>
        <v>0.4333333333</v>
      </c>
      <c r="G337" s="35">
        <f t="shared" si="35"/>
        <v>6938.984803</v>
      </c>
      <c r="H337" s="8"/>
      <c r="I337" s="9">
        <f t="shared" si="2"/>
        <v>48</v>
      </c>
      <c r="J337" s="8"/>
      <c r="K337" s="27"/>
      <c r="L337" s="9">
        <f t="shared" si="4"/>
        <v>42819.99454</v>
      </c>
      <c r="M337" s="27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20">
        <v>209915.0</v>
      </c>
      <c r="B338" s="19">
        <v>42341.0</v>
      </c>
      <c r="C338" s="20">
        <v>49.0</v>
      </c>
      <c r="D338" s="26">
        <v>337.0</v>
      </c>
      <c r="E338" s="34">
        <f t="shared" ref="E338:E366" si="36">E337</f>
        <v>6771.451613</v>
      </c>
      <c r="F338" s="34">
        <f t="shared" si="34"/>
        <v>0.4</v>
      </c>
      <c r="G338" s="35">
        <f t="shared" si="35"/>
        <v>6926.097634</v>
      </c>
      <c r="H338" s="8"/>
      <c r="I338" s="9">
        <f t="shared" si="2"/>
        <v>49</v>
      </c>
      <c r="J338" s="22">
        <f>SUM(G338:G344)</f>
        <v>48212.0529</v>
      </c>
      <c r="K338" s="24">
        <v>48212.0529</v>
      </c>
      <c r="L338" s="9">
        <f t="shared" si="4"/>
        <v>42819.99454</v>
      </c>
      <c r="M338" s="24">
        <v>42819.99454</v>
      </c>
      <c r="N338" s="25">
        <v>13295.58332</v>
      </c>
      <c r="O338" s="25">
        <v>11434.56439</v>
      </c>
      <c r="P338" s="25">
        <v>2999.805682</v>
      </c>
      <c r="Q338" s="25">
        <v>20451.86973</v>
      </c>
      <c r="R338" s="18"/>
      <c r="S338" s="25">
        <v>11781.25644</v>
      </c>
      <c r="T338" s="25">
        <v>10050.20723</v>
      </c>
      <c r="U338" s="25">
        <v>2489.209974</v>
      </c>
      <c r="V338" s="25">
        <v>18969.47746</v>
      </c>
      <c r="W338" s="25">
        <v>1514.326883</v>
      </c>
      <c r="X338" s="25">
        <v>1384.357163</v>
      </c>
      <c r="Y338" s="25">
        <v>510.5957081</v>
      </c>
      <c r="Z338" s="25">
        <v>1482.392272</v>
      </c>
    </row>
    <row r="339">
      <c r="A339" s="28"/>
      <c r="B339" s="19">
        <v>42342.0</v>
      </c>
      <c r="C339" s="20">
        <v>49.0</v>
      </c>
      <c r="D339" s="26">
        <v>338.0</v>
      </c>
      <c r="E339" s="34">
        <f t="shared" si="36"/>
        <v>6771.451613</v>
      </c>
      <c r="F339" s="34">
        <f t="shared" si="34"/>
        <v>0.3666666667</v>
      </c>
      <c r="G339" s="35">
        <f t="shared" si="35"/>
        <v>6913.210466</v>
      </c>
      <c r="H339" s="8"/>
      <c r="I339" s="9">
        <f t="shared" si="2"/>
        <v>49</v>
      </c>
      <c r="J339" s="8"/>
      <c r="K339" s="27"/>
      <c r="L339" s="9">
        <f t="shared" si="4"/>
        <v>42819.99454</v>
      </c>
      <c r="M339" s="27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28"/>
      <c r="B340" s="19">
        <v>42343.0</v>
      </c>
      <c r="C340" s="20">
        <v>49.0</v>
      </c>
      <c r="D340" s="26">
        <v>339.0</v>
      </c>
      <c r="E340" s="34">
        <f t="shared" si="36"/>
        <v>6771.451613</v>
      </c>
      <c r="F340" s="34">
        <f t="shared" si="34"/>
        <v>0.3333333333</v>
      </c>
      <c r="G340" s="35">
        <f t="shared" si="35"/>
        <v>6900.323297</v>
      </c>
      <c r="H340" s="8"/>
      <c r="I340" s="9">
        <f t="shared" si="2"/>
        <v>49</v>
      </c>
      <c r="J340" s="8"/>
      <c r="K340" s="27"/>
      <c r="L340" s="9">
        <f t="shared" si="4"/>
        <v>42819.99454</v>
      </c>
      <c r="M340" s="27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28"/>
      <c r="B341" s="19">
        <v>42344.0</v>
      </c>
      <c r="C341" s="20">
        <v>49.0</v>
      </c>
      <c r="D341" s="26">
        <v>340.0</v>
      </c>
      <c r="E341" s="34">
        <f t="shared" si="36"/>
        <v>6771.451613</v>
      </c>
      <c r="F341" s="34">
        <f t="shared" si="34"/>
        <v>0.3</v>
      </c>
      <c r="G341" s="35">
        <f t="shared" si="35"/>
        <v>6887.436129</v>
      </c>
      <c r="H341" s="8"/>
      <c r="I341" s="9">
        <f t="shared" si="2"/>
        <v>49</v>
      </c>
      <c r="J341" s="8"/>
      <c r="K341" s="27"/>
      <c r="L341" s="9">
        <f t="shared" si="4"/>
        <v>42819.99454</v>
      </c>
      <c r="M341" s="27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28"/>
      <c r="B342" s="19">
        <v>42345.0</v>
      </c>
      <c r="C342" s="20">
        <v>49.0</v>
      </c>
      <c r="D342" s="26">
        <v>341.0</v>
      </c>
      <c r="E342" s="34">
        <f t="shared" si="36"/>
        <v>6771.451613</v>
      </c>
      <c r="F342" s="34">
        <f t="shared" si="34"/>
        <v>0.2666666667</v>
      </c>
      <c r="G342" s="35">
        <f t="shared" si="35"/>
        <v>6874.548961</v>
      </c>
      <c r="H342" s="8"/>
      <c r="I342" s="9">
        <f t="shared" si="2"/>
        <v>49</v>
      </c>
      <c r="J342" s="8"/>
      <c r="K342" s="27"/>
      <c r="L342" s="9">
        <f t="shared" si="4"/>
        <v>42819.99454</v>
      </c>
      <c r="M342" s="27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28"/>
      <c r="B343" s="19">
        <v>42346.0</v>
      </c>
      <c r="C343" s="20">
        <v>49.0</v>
      </c>
      <c r="D343" s="26">
        <v>342.0</v>
      </c>
      <c r="E343" s="34">
        <f t="shared" si="36"/>
        <v>6771.451613</v>
      </c>
      <c r="F343" s="34">
        <f t="shared" si="34"/>
        <v>0.2333333333</v>
      </c>
      <c r="G343" s="35">
        <f t="shared" si="35"/>
        <v>6861.661792</v>
      </c>
      <c r="H343" s="8"/>
      <c r="I343" s="9">
        <f t="shared" si="2"/>
        <v>49</v>
      </c>
      <c r="J343" s="8"/>
      <c r="K343" s="27"/>
      <c r="L343" s="9">
        <f t="shared" si="4"/>
        <v>42819.99454</v>
      </c>
      <c r="M343" s="27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28"/>
      <c r="B344" s="19">
        <v>42347.0</v>
      </c>
      <c r="C344" s="20">
        <v>49.0</v>
      </c>
      <c r="D344" s="26">
        <v>343.0</v>
      </c>
      <c r="E344" s="34">
        <f t="shared" si="36"/>
        <v>6771.451613</v>
      </c>
      <c r="F344" s="34">
        <f t="shared" si="34"/>
        <v>0.2</v>
      </c>
      <c r="G344" s="35">
        <f t="shared" si="35"/>
        <v>6848.774624</v>
      </c>
      <c r="H344" s="8"/>
      <c r="I344" s="9">
        <f t="shared" si="2"/>
        <v>49</v>
      </c>
      <c r="J344" s="8"/>
      <c r="K344" s="27"/>
      <c r="L344" s="9">
        <f t="shared" si="4"/>
        <v>42819.99454</v>
      </c>
      <c r="M344" s="27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28"/>
      <c r="B345" s="19">
        <v>42348.0</v>
      </c>
      <c r="C345" s="20">
        <v>50.0</v>
      </c>
      <c r="D345" s="26">
        <v>344.0</v>
      </c>
      <c r="E345" s="34">
        <f t="shared" si="36"/>
        <v>6771.451613</v>
      </c>
      <c r="F345" s="34">
        <f t="shared" si="34"/>
        <v>0.1666666667</v>
      </c>
      <c r="G345" s="35">
        <f t="shared" si="35"/>
        <v>6835.887455</v>
      </c>
      <c r="H345" s="8"/>
      <c r="I345" s="9">
        <f t="shared" si="2"/>
        <v>50</v>
      </c>
      <c r="J345" s="22">
        <f>SUM(G345:G351)</f>
        <v>47606.76226</v>
      </c>
      <c r="K345" s="24">
        <v>47606.76226</v>
      </c>
      <c r="L345" s="9">
        <f t="shared" si="4"/>
        <v>42819.99454</v>
      </c>
      <c r="M345" s="24">
        <v>42819.99454</v>
      </c>
      <c r="N345" s="25">
        <v>13214.06683</v>
      </c>
      <c r="O345" s="25">
        <v>11035.38583</v>
      </c>
      <c r="P345" s="25">
        <v>2791.816789</v>
      </c>
      <c r="Q345" s="25">
        <v>20823.91305</v>
      </c>
      <c r="R345" s="18"/>
      <c r="S345" s="25">
        <v>10879.24895</v>
      </c>
      <c r="T345" s="25">
        <v>9729.152643</v>
      </c>
      <c r="U345" s="25">
        <v>2628.254142</v>
      </c>
      <c r="V345" s="25">
        <v>18469.67208</v>
      </c>
      <c r="W345" s="25">
        <v>2334.817888</v>
      </c>
      <c r="X345" s="25">
        <v>1306.233191</v>
      </c>
      <c r="Y345" s="25">
        <v>163.5626475</v>
      </c>
      <c r="Z345" s="25">
        <v>2354.240966</v>
      </c>
    </row>
    <row r="346">
      <c r="A346" s="28"/>
      <c r="B346" s="19">
        <v>42349.0</v>
      </c>
      <c r="C346" s="20">
        <v>50.0</v>
      </c>
      <c r="D346" s="26">
        <v>345.0</v>
      </c>
      <c r="E346" s="34">
        <f t="shared" si="36"/>
        <v>6771.451613</v>
      </c>
      <c r="F346" s="34">
        <f t="shared" si="34"/>
        <v>0.1333333333</v>
      </c>
      <c r="G346" s="35">
        <f t="shared" si="35"/>
        <v>6823.000287</v>
      </c>
      <c r="H346" s="8"/>
      <c r="I346" s="9">
        <f t="shared" si="2"/>
        <v>50</v>
      </c>
      <c r="J346" s="8"/>
      <c r="K346" s="27"/>
      <c r="L346" s="9">
        <f t="shared" si="4"/>
        <v>42819.99454</v>
      </c>
      <c r="M346" s="27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28"/>
      <c r="B347" s="19">
        <v>42350.0</v>
      </c>
      <c r="C347" s="20">
        <v>50.0</v>
      </c>
      <c r="D347" s="26">
        <v>346.0</v>
      </c>
      <c r="E347" s="34">
        <f t="shared" si="36"/>
        <v>6771.451613</v>
      </c>
      <c r="F347" s="34">
        <f t="shared" si="34"/>
        <v>0.1</v>
      </c>
      <c r="G347" s="35">
        <f t="shared" si="35"/>
        <v>6810.113118</v>
      </c>
      <c r="H347" s="8"/>
      <c r="I347" s="9">
        <f t="shared" si="2"/>
        <v>50</v>
      </c>
      <c r="J347" s="8"/>
      <c r="K347" s="27"/>
      <c r="L347" s="9">
        <f t="shared" si="4"/>
        <v>42819.99454</v>
      </c>
      <c r="M347" s="27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28"/>
      <c r="B348" s="19">
        <v>42351.0</v>
      </c>
      <c r="C348" s="20">
        <v>50.0</v>
      </c>
      <c r="D348" s="26">
        <v>347.0</v>
      </c>
      <c r="E348" s="34">
        <f t="shared" si="36"/>
        <v>6771.451613</v>
      </c>
      <c r="F348" s="34">
        <f t="shared" si="34"/>
        <v>0.06666666667</v>
      </c>
      <c r="G348" s="35">
        <f t="shared" si="35"/>
        <v>6797.22595</v>
      </c>
      <c r="H348" s="8"/>
      <c r="I348" s="9">
        <f t="shared" si="2"/>
        <v>50</v>
      </c>
      <c r="J348" s="8"/>
      <c r="K348" s="27"/>
      <c r="L348" s="9">
        <f t="shared" si="4"/>
        <v>42819.99454</v>
      </c>
      <c r="M348" s="27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28"/>
      <c r="B349" s="19">
        <v>42352.0</v>
      </c>
      <c r="C349" s="20">
        <v>50.0</v>
      </c>
      <c r="D349" s="26">
        <v>348.0</v>
      </c>
      <c r="E349" s="34">
        <f t="shared" si="36"/>
        <v>6771.451613</v>
      </c>
      <c r="F349" s="34">
        <f t="shared" si="34"/>
        <v>0.03333333333</v>
      </c>
      <c r="G349" s="35">
        <f t="shared" si="35"/>
        <v>6784.338781</v>
      </c>
      <c r="H349" s="8"/>
      <c r="I349" s="9">
        <f t="shared" si="2"/>
        <v>50</v>
      </c>
      <c r="J349" s="8"/>
      <c r="K349" s="27"/>
      <c r="L349" s="9">
        <f t="shared" si="4"/>
        <v>42819.99454</v>
      </c>
      <c r="M349" s="27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28"/>
      <c r="B350" s="19">
        <v>42353.0</v>
      </c>
      <c r="C350" s="20">
        <v>50.0</v>
      </c>
      <c r="D350" s="26">
        <v>349.0</v>
      </c>
      <c r="E350" s="34">
        <f t="shared" si="36"/>
        <v>6771.451613</v>
      </c>
      <c r="F350" s="34">
        <f t="shared" si="34"/>
        <v>0</v>
      </c>
      <c r="G350" s="35">
        <f t="shared" si="35"/>
        <v>6771.451613</v>
      </c>
      <c r="H350" s="8"/>
      <c r="I350" s="9">
        <f t="shared" si="2"/>
        <v>50</v>
      </c>
      <c r="J350" s="8"/>
      <c r="K350" s="27"/>
      <c r="L350" s="9">
        <f t="shared" si="4"/>
        <v>42819.99454</v>
      </c>
      <c r="M350" s="27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3"/>
      <c r="B351" s="19">
        <v>42354.0</v>
      </c>
      <c r="C351" s="20">
        <v>50.0</v>
      </c>
      <c r="D351" s="26">
        <v>350.0</v>
      </c>
      <c r="E351" s="34">
        <f t="shared" si="36"/>
        <v>6771.451613</v>
      </c>
      <c r="F351" s="34">
        <f t="shared" ref="F351:F381" si="37">abs((D351-380)/(380-349))</f>
        <v>0.9677419355</v>
      </c>
      <c r="G351" s="35">
        <f t="shared" ref="G351:G381" si="38">E336*F351+(1-F351)*E2</f>
        <v>6784.745057</v>
      </c>
      <c r="H351" s="8"/>
      <c r="I351" s="9">
        <f t="shared" si="2"/>
        <v>50</v>
      </c>
      <c r="J351" s="8"/>
      <c r="K351" s="27"/>
      <c r="L351" s="9">
        <f t="shared" si="4"/>
        <v>42819.99454</v>
      </c>
      <c r="M351" s="27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3"/>
      <c r="B352" s="19">
        <v>42355.0</v>
      </c>
      <c r="C352" s="20">
        <v>51.0</v>
      </c>
      <c r="D352" s="26">
        <v>351.0</v>
      </c>
      <c r="E352" s="34">
        <f t="shared" si="36"/>
        <v>6771.451613</v>
      </c>
      <c r="F352" s="34">
        <f t="shared" si="37"/>
        <v>0.935483871</v>
      </c>
      <c r="G352" s="35">
        <f t="shared" si="38"/>
        <v>6798.038502</v>
      </c>
      <c r="H352" s="8"/>
      <c r="I352" s="9">
        <f t="shared" si="2"/>
        <v>51</v>
      </c>
      <c r="J352" s="22">
        <f>SUM(G352:G358)</f>
        <v>47865.43184</v>
      </c>
      <c r="K352" s="24">
        <v>47865.43184</v>
      </c>
      <c r="L352" s="9">
        <f t="shared" si="4"/>
        <v>42819.99454</v>
      </c>
      <c r="M352" s="24">
        <v>42819.99454</v>
      </c>
      <c r="N352" s="25">
        <v>13057.59117</v>
      </c>
      <c r="O352" s="25">
        <v>10902.4397</v>
      </c>
      <c r="P352" s="25">
        <v>3002.453061</v>
      </c>
      <c r="Q352" s="25">
        <v>19879.71784</v>
      </c>
      <c r="R352" s="18"/>
      <c r="S352" s="25">
        <v>11080.44137</v>
      </c>
      <c r="T352" s="25">
        <v>9904.570217</v>
      </c>
      <c r="U352" s="25">
        <v>2519.794987</v>
      </c>
      <c r="V352" s="25">
        <v>17913.58007</v>
      </c>
      <c r="W352" s="25">
        <v>1977.149797</v>
      </c>
      <c r="X352" s="25">
        <v>997.8694848</v>
      </c>
      <c r="Y352" s="25">
        <v>482.6580746</v>
      </c>
      <c r="Z352" s="25">
        <v>1966.137765</v>
      </c>
    </row>
    <row r="353">
      <c r="A353" s="28"/>
      <c r="B353" s="19">
        <v>42356.0</v>
      </c>
      <c r="C353" s="20">
        <v>51.0</v>
      </c>
      <c r="D353" s="26">
        <v>352.0</v>
      </c>
      <c r="E353" s="34">
        <f t="shared" si="36"/>
        <v>6771.451613</v>
      </c>
      <c r="F353" s="34">
        <f t="shared" si="37"/>
        <v>0.9032258065</v>
      </c>
      <c r="G353" s="35">
        <f t="shared" si="38"/>
        <v>6811.331946</v>
      </c>
      <c r="H353" s="8"/>
      <c r="I353" s="9">
        <f t="shared" si="2"/>
        <v>51</v>
      </c>
      <c r="J353" s="8"/>
      <c r="K353" s="27"/>
      <c r="L353" s="9">
        <f t="shared" si="4"/>
        <v>42819.99454</v>
      </c>
      <c r="M353" s="27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28"/>
      <c r="B354" s="19">
        <v>42357.0</v>
      </c>
      <c r="C354" s="20">
        <v>51.0</v>
      </c>
      <c r="D354" s="26">
        <v>353.0</v>
      </c>
      <c r="E354" s="34">
        <f t="shared" si="36"/>
        <v>6771.451613</v>
      </c>
      <c r="F354" s="34">
        <f t="shared" si="37"/>
        <v>0.8709677419</v>
      </c>
      <c r="G354" s="35">
        <f t="shared" si="38"/>
        <v>6824.62539</v>
      </c>
      <c r="H354" s="8"/>
      <c r="I354" s="9">
        <f t="shared" si="2"/>
        <v>51</v>
      </c>
      <c r="J354" s="8"/>
      <c r="K354" s="27"/>
      <c r="L354" s="9">
        <f t="shared" si="4"/>
        <v>42819.99454</v>
      </c>
      <c r="M354" s="27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28"/>
      <c r="B355" s="19">
        <v>42358.0</v>
      </c>
      <c r="C355" s="20">
        <v>51.0</v>
      </c>
      <c r="D355" s="26">
        <v>354.0</v>
      </c>
      <c r="E355" s="34">
        <f t="shared" si="36"/>
        <v>6771.451613</v>
      </c>
      <c r="F355" s="34">
        <f t="shared" si="37"/>
        <v>0.8387096774</v>
      </c>
      <c r="G355" s="35">
        <f t="shared" si="38"/>
        <v>6837.918835</v>
      </c>
      <c r="H355" s="8"/>
      <c r="I355" s="9">
        <f t="shared" si="2"/>
        <v>51</v>
      </c>
      <c r="J355" s="8"/>
      <c r="K355" s="27"/>
      <c r="L355" s="9">
        <f t="shared" si="4"/>
        <v>42819.99454</v>
      </c>
      <c r="M355" s="27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28"/>
      <c r="B356" s="19">
        <v>42359.0</v>
      </c>
      <c r="C356" s="20">
        <v>51.0</v>
      </c>
      <c r="D356" s="26">
        <v>355.0</v>
      </c>
      <c r="E356" s="34">
        <f t="shared" si="36"/>
        <v>6771.451613</v>
      </c>
      <c r="F356" s="34">
        <f t="shared" si="37"/>
        <v>0.8064516129</v>
      </c>
      <c r="G356" s="35">
        <f t="shared" si="38"/>
        <v>6851.212279</v>
      </c>
      <c r="H356" s="8"/>
      <c r="I356" s="9">
        <f t="shared" si="2"/>
        <v>51</v>
      </c>
      <c r="J356" s="8"/>
      <c r="K356" s="27"/>
      <c r="L356" s="9">
        <f t="shared" si="4"/>
        <v>42819.99454</v>
      </c>
      <c r="M356" s="27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28"/>
      <c r="B357" s="19">
        <v>42360.0</v>
      </c>
      <c r="C357" s="20">
        <v>51.0</v>
      </c>
      <c r="D357" s="26">
        <v>356.0</v>
      </c>
      <c r="E357" s="34">
        <f t="shared" si="36"/>
        <v>6771.451613</v>
      </c>
      <c r="F357" s="34">
        <f t="shared" si="37"/>
        <v>0.7741935484</v>
      </c>
      <c r="G357" s="35">
        <f t="shared" si="38"/>
        <v>6864.505723</v>
      </c>
      <c r="H357" s="8"/>
      <c r="I357" s="9">
        <f t="shared" si="2"/>
        <v>51</v>
      </c>
      <c r="J357" s="8"/>
      <c r="K357" s="27"/>
      <c r="L357" s="9">
        <f t="shared" si="4"/>
        <v>42819.99454</v>
      </c>
      <c r="M357" s="27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28"/>
      <c r="B358" s="19">
        <v>42361.0</v>
      </c>
      <c r="C358" s="20">
        <v>51.0</v>
      </c>
      <c r="D358" s="26">
        <v>357.0</v>
      </c>
      <c r="E358" s="34">
        <f t="shared" si="36"/>
        <v>6771.451613</v>
      </c>
      <c r="F358" s="34">
        <f t="shared" si="37"/>
        <v>0.7419354839</v>
      </c>
      <c r="G358" s="35">
        <f t="shared" si="38"/>
        <v>6877.799168</v>
      </c>
      <c r="H358" s="8"/>
      <c r="I358" s="9">
        <f t="shared" si="2"/>
        <v>51</v>
      </c>
      <c r="J358" s="8"/>
      <c r="K358" s="27"/>
      <c r="L358" s="9">
        <f t="shared" si="4"/>
        <v>42819.99454</v>
      </c>
      <c r="M358" s="27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28"/>
      <c r="B359" s="19">
        <v>42362.0</v>
      </c>
      <c r="C359" s="20">
        <v>52.0</v>
      </c>
      <c r="D359" s="26">
        <v>358.0</v>
      </c>
      <c r="E359" s="34">
        <f t="shared" si="36"/>
        <v>6771.451613</v>
      </c>
      <c r="F359" s="34">
        <f t="shared" si="37"/>
        <v>0.7096774194</v>
      </c>
      <c r="G359" s="35">
        <f t="shared" si="38"/>
        <v>6891.092612</v>
      </c>
      <c r="H359" s="8"/>
      <c r="I359" s="9">
        <f t="shared" si="2"/>
        <v>52</v>
      </c>
      <c r="J359" s="22">
        <f>SUM(G359:G365)</f>
        <v>48516.81061</v>
      </c>
      <c r="K359" s="24">
        <v>48516.81061</v>
      </c>
      <c r="L359" s="9">
        <f t="shared" si="4"/>
        <v>42819.99454</v>
      </c>
      <c r="M359" s="24">
        <v>42819.99454</v>
      </c>
      <c r="N359" s="25">
        <v>13044.14345</v>
      </c>
      <c r="O359" s="25">
        <v>11725.24733</v>
      </c>
      <c r="P359" s="25">
        <v>2925.014124</v>
      </c>
      <c r="Q359" s="25">
        <v>21625.50196</v>
      </c>
      <c r="R359" s="18"/>
      <c r="S359" s="25">
        <v>11500.18512</v>
      </c>
      <c r="T359" s="25">
        <v>10112.73697</v>
      </c>
      <c r="U359" s="25">
        <v>2477.544289</v>
      </c>
      <c r="V359" s="25">
        <v>18813.78241</v>
      </c>
      <c r="W359" s="25">
        <v>1543.958328</v>
      </c>
      <c r="X359" s="25">
        <v>1612.510357</v>
      </c>
      <c r="Y359" s="25">
        <v>447.4698353</v>
      </c>
      <c r="Z359" s="25">
        <v>2811.719554</v>
      </c>
    </row>
    <row r="360">
      <c r="A360" s="28"/>
      <c r="B360" s="19">
        <v>42363.0</v>
      </c>
      <c r="C360" s="20">
        <v>52.0</v>
      </c>
      <c r="D360" s="26">
        <v>359.0</v>
      </c>
      <c r="E360" s="34">
        <f t="shared" si="36"/>
        <v>6771.451613</v>
      </c>
      <c r="F360" s="34">
        <f t="shared" si="37"/>
        <v>0.6774193548</v>
      </c>
      <c r="G360" s="35">
        <f t="shared" si="38"/>
        <v>6904.386056</v>
      </c>
      <c r="H360" s="8"/>
      <c r="I360" s="9">
        <f t="shared" si="2"/>
        <v>52</v>
      </c>
      <c r="J360" s="8"/>
      <c r="K360" s="27"/>
      <c r="L360" s="9">
        <f t="shared" si="4"/>
        <v>42819.99454</v>
      </c>
      <c r="M360" s="27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28"/>
      <c r="B361" s="19">
        <v>42364.0</v>
      </c>
      <c r="C361" s="20">
        <v>52.0</v>
      </c>
      <c r="D361" s="26">
        <v>360.0</v>
      </c>
      <c r="E361" s="34">
        <f t="shared" si="36"/>
        <v>6771.451613</v>
      </c>
      <c r="F361" s="34">
        <f t="shared" si="37"/>
        <v>0.6451612903</v>
      </c>
      <c r="G361" s="35">
        <f t="shared" si="38"/>
        <v>6917.679501</v>
      </c>
      <c r="H361" s="8"/>
      <c r="I361" s="9">
        <f t="shared" si="2"/>
        <v>52</v>
      </c>
      <c r="J361" s="8"/>
      <c r="K361" s="27"/>
      <c r="L361" s="9">
        <f t="shared" si="4"/>
        <v>42819.99454</v>
      </c>
      <c r="M361" s="27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28"/>
      <c r="B362" s="19">
        <v>42365.0</v>
      </c>
      <c r="C362" s="20">
        <v>52.0</v>
      </c>
      <c r="D362" s="26">
        <v>361.0</v>
      </c>
      <c r="E362" s="34">
        <f t="shared" si="36"/>
        <v>6771.451613</v>
      </c>
      <c r="F362" s="34">
        <f t="shared" si="37"/>
        <v>0.6129032258</v>
      </c>
      <c r="G362" s="35">
        <f t="shared" si="38"/>
        <v>6930.972945</v>
      </c>
      <c r="H362" s="8"/>
      <c r="I362" s="9">
        <f t="shared" si="2"/>
        <v>52</v>
      </c>
      <c r="J362" s="8"/>
      <c r="K362" s="27"/>
      <c r="L362" s="9">
        <f t="shared" si="4"/>
        <v>42819.99454</v>
      </c>
      <c r="M362" s="27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28"/>
      <c r="B363" s="19">
        <v>42366.0</v>
      </c>
      <c r="C363" s="20">
        <v>52.0</v>
      </c>
      <c r="D363" s="26">
        <v>362.0</v>
      </c>
      <c r="E363" s="34">
        <f t="shared" si="36"/>
        <v>6771.451613</v>
      </c>
      <c r="F363" s="34">
        <f t="shared" si="37"/>
        <v>0.5806451613</v>
      </c>
      <c r="G363" s="35">
        <f t="shared" si="38"/>
        <v>6944.266389</v>
      </c>
      <c r="H363" s="8"/>
      <c r="I363" s="9">
        <f t="shared" si="2"/>
        <v>52</v>
      </c>
      <c r="J363" s="8"/>
      <c r="K363" s="27"/>
      <c r="L363" s="9">
        <f t="shared" si="4"/>
        <v>42819.99454</v>
      </c>
      <c r="M363" s="27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28"/>
      <c r="B364" s="19">
        <v>42367.0</v>
      </c>
      <c r="C364" s="20">
        <v>52.0</v>
      </c>
      <c r="D364" s="26">
        <v>363.0</v>
      </c>
      <c r="E364" s="34">
        <f t="shared" si="36"/>
        <v>6771.451613</v>
      </c>
      <c r="F364" s="34">
        <f t="shared" si="37"/>
        <v>0.5483870968</v>
      </c>
      <c r="G364" s="35">
        <f t="shared" si="38"/>
        <v>6957.559834</v>
      </c>
      <c r="H364" s="8"/>
      <c r="I364" s="9">
        <f t="shared" si="2"/>
        <v>52</v>
      </c>
      <c r="J364" s="8"/>
      <c r="K364" s="27"/>
      <c r="L364" s="9">
        <f t="shared" si="4"/>
        <v>42819.99454</v>
      </c>
      <c r="M364" s="27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28"/>
      <c r="B365" s="19">
        <v>42368.0</v>
      </c>
      <c r="C365" s="20">
        <v>52.0</v>
      </c>
      <c r="D365" s="26">
        <v>364.0</v>
      </c>
      <c r="E365" s="34">
        <f t="shared" si="36"/>
        <v>6771.451613</v>
      </c>
      <c r="F365" s="34">
        <f t="shared" si="37"/>
        <v>0.5161290323</v>
      </c>
      <c r="G365" s="35">
        <f t="shared" si="38"/>
        <v>6970.853278</v>
      </c>
      <c r="H365" s="8"/>
      <c r="I365" s="9">
        <f t="shared" si="2"/>
        <v>52</v>
      </c>
      <c r="J365" s="8"/>
      <c r="K365" s="27"/>
      <c r="L365" s="9">
        <f t="shared" si="4"/>
        <v>42819.99454</v>
      </c>
      <c r="M365" s="27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28"/>
      <c r="B366" s="19">
        <v>42369.0</v>
      </c>
      <c r="C366" s="20">
        <v>53.0</v>
      </c>
      <c r="D366" s="26">
        <v>365.0</v>
      </c>
      <c r="E366" s="34">
        <f t="shared" si="36"/>
        <v>6771.451613</v>
      </c>
      <c r="F366" s="34">
        <f t="shared" si="37"/>
        <v>0.4838709677</v>
      </c>
      <c r="G366" s="35">
        <f t="shared" si="38"/>
        <v>6984.146722</v>
      </c>
      <c r="H366" s="8"/>
      <c r="I366" s="8"/>
      <c r="J366" s="8"/>
      <c r="K366" s="27"/>
      <c r="L366" s="8"/>
      <c r="M366" s="27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28"/>
      <c r="B367" s="28"/>
      <c r="C367" s="28"/>
      <c r="D367" s="26">
        <v>366.0</v>
      </c>
      <c r="E367" s="32"/>
      <c r="F367" s="34">
        <f t="shared" si="37"/>
        <v>0.4516129032</v>
      </c>
      <c r="G367" s="35">
        <f t="shared" si="38"/>
        <v>6997.440166</v>
      </c>
      <c r="H367" s="8"/>
      <c r="I367" s="8"/>
      <c r="J367" s="8"/>
      <c r="K367" s="27"/>
      <c r="L367" s="8"/>
      <c r="M367" s="27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28"/>
      <c r="B368" s="28"/>
      <c r="C368" s="28"/>
      <c r="D368" s="26">
        <v>367.0</v>
      </c>
      <c r="E368" s="32"/>
      <c r="F368" s="34">
        <f t="shared" si="37"/>
        <v>0.4193548387</v>
      </c>
      <c r="G368" s="35">
        <f t="shared" si="38"/>
        <v>7010.733611</v>
      </c>
      <c r="H368" s="8"/>
      <c r="I368" s="8"/>
      <c r="J368" s="8"/>
      <c r="K368" s="27"/>
      <c r="L368" s="8"/>
      <c r="M368" s="27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28"/>
      <c r="B369" s="28"/>
      <c r="C369" s="28"/>
      <c r="D369" s="26">
        <v>368.0</v>
      </c>
      <c r="E369" s="32"/>
      <c r="F369" s="34">
        <f t="shared" si="37"/>
        <v>0.3870967742</v>
      </c>
      <c r="G369" s="35">
        <f t="shared" si="38"/>
        <v>7024.027055</v>
      </c>
      <c r="H369" s="8"/>
      <c r="I369" s="8"/>
      <c r="J369" s="8"/>
      <c r="K369" s="27"/>
      <c r="L369" s="8"/>
      <c r="M369" s="27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28"/>
      <c r="B370" s="28"/>
      <c r="C370" s="28"/>
      <c r="D370" s="26">
        <v>369.0</v>
      </c>
      <c r="E370" s="32"/>
      <c r="F370" s="34">
        <f t="shared" si="37"/>
        <v>0.3548387097</v>
      </c>
      <c r="G370" s="35">
        <f t="shared" si="38"/>
        <v>7037.320499</v>
      </c>
      <c r="H370" s="8"/>
      <c r="I370" s="8"/>
      <c r="J370" s="8"/>
      <c r="K370" s="27"/>
      <c r="L370" s="8"/>
      <c r="M370" s="27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28"/>
      <c r="B371" s="28"/>
      <c r="C371" s="28"/>
      <c r="D371" s="26">
        <v>370.0</v>
      </c>
      <c r="E371" s="32"/>
      <c r="F371" s="34">
        <f t="shared" si="37"/>
        <v>0.3225806452</v>
      </c>
      <c r="G371" s="35">
        <f t="shared" si="38"/>
        <v>7050.613944</v>
      </c>
      <c r="H371" s="8"/>
      <c r="I371" s="8"/>
      <c r="J371" s="8"/>
      <c r="K371" s="27"/>
      <c r="L371" s="8"/>
      <c r="M371" s="27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28"/>
      <c r="B372" s="28"/>
      <c r="C372" s="28"/>
      <c r="D372" s="26">
        <v>371.0</v>
      </c>
      <c r="E372" s="32"/>
      <c r="F372" s="34">
        <f t="shared" si="37"/>
        <v>0.2903225806</v>
      </c>
      <c r="G372" s="35">
        <f t="shared" si="38"/>
        <v>7063.907388</v>
      </c>
      <c r="H372" s="8"/>
      <c r="I372" s="8"/>
      <c r="J372" s="8"/>
      <c r="K372" s="27"/>
      <c r="L372" s="8"/>
      <c r="M372" s="27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28"/>
      <c r="B373" s="28"/>
      <c r="C373" s="28"/>
      <c r="D373" s="26">
        <v>372.0</v>
      </c>
      <c r="E373" s="32"/>
      <c r="F373" s="34">
        <f t="shared" si="37"/>
        <v>0.2580645161</v>
      </c>
      <c r="G373" s="35">
        <f t="shared" si="38"/>
        <v>7077.200832</v>
      </c>
      <c r="H373" s="8"/>
      <c r="I373" s="8"/>
      <c r="J373" s="8"/>
      <c r="K373" s="27"/>
      <c r="L373" s="8"/>
      <c r="M373" s="27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28"/>
      <c r="B374" s="28"/>
      <c r="C374" s="28"/>
      <c r="D374" s="26">
        <v>373.0</v>
      </c>
      <c r="E374" s="32"/>
      <c r="F374" s="34">
        <f t="shared" si="37"/>
        <v>0.2258064516</v>
      </c>
      <c r="G374" s="35">
        <f t="shared" si="38"/>
        <v>7090.494277</v>
      </c>
      <c r="H374" s="8"/>
      <c r="I374" s="8"/>
      <c r="J374" s="8"/>
      <c r="K374" s="27"/>
      <c r="L374" s="8"/>
      <c r="M374" s="27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28"/>
      <c r="B375" s="28"/>
      <c r="C375" s="28"/>
      <c r="D375" s="26">
        <v>374.0</v>
      </c>
      <c r="E375" s="32"/>
      <c r="F375" s="34">
        <f t="shared" si="37"/>
        <v>0.1935483871</v>
      </c>
      <c r="G375" s="35">
        <f t="shared" si="38"/>
        <v>7103.787721</v>
      </c>
      <c r="H375" s="8"/>
      <c r="I375" s="8"/>
      <c r="J375" s="8"/>
      <c r="K375" s="27"/>
      <c r="L375" s="8"/>
      <c r="M375" s="27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28"/>
      <c r="B376" s="28"/>
      <c r="C376" s="28"/>
      <c r="D376" s="26">
        <v>375.0</v>
      </c>
      <c r="E376" s="32"/>
      <c r="F376" s="34">
        <f t="shared" si="37"/>
        <v>0.1612903226</v>
      </c>
      <c r="G376" s="35">
        <f t="shared" si="38"/>
        <v>7117.081165</v>
      </c>
      <c r="H376" s="8"/>
      <c r="I376" s="8"/>
      <c r="J376" s="8"/>
      <c r="K376" s="27"/>
      <c r="L376" s="8"/>
      <c r="M376" s="27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28"/>
      <c r="B377" s="28"/>
      <c r="C377" s="28"/>
      <c r="D377" s="26">
        <v>376.0</v>
      </c>
      <c r="E377" s="32"/>
      <c r="F377" s="34">
        <f t="shared" si="37"/>
        <v>0.1290322581</v>
      </c>
      <c r="G377" s="35">
        <f t="shared" si="38"/>
        <v>7130.37461</v>
      </c>
      <c r="H377" s="8"/>
      <c r="I377" s="8"/>
      <c r="J377" s="8"/>
      <c r="K377" s="27"/>
      <c r="L377" s="8"/>
      <c r="M377" s="27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28"/>
      <c r="B378" s="28"/>
      <c r="C378" s="28"/>
      <c r="D378" s="26">
        <v>377.0</v>
      </c>
      <c r="E378" s="32"/>
      <c r="F378" s="34">
        <f t="shared" si="37"/>
        <v>0.09677419355</v>
      </c>
      <c r="G378" s="35">
        <f t="shared" si="38"/>
        <v>7143.668054</v>
      </c>
      <c r="H378" s="8"/>
      <c r="I378" s="8"/>
      <c r="J378" s="8"/>
      <c r="K378" s="27"/>
      <c r="L378" s="8"/>
      <c r="M378" s="27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28"/>
      <c r="B379" s="28"/>
      <c r="C379" s="28"/>
      <c r="D379" s="26">
        <v>378.0</v>
      </c>
      <c r="E379" s="32"/>
      <c r="F379" s="34">
        <f t="shared" si="37"/>
        <v>0.06451612903</v>
      </c>
      <c r="G379" s="35">
        <f t="shared" si="38"/>
        <v>7156.961498</v>
      </c>
      <c r="H379" s="8"/>
      <c r="I379" s="8"/>
      <c r="J379" s="8"/>
      <c r="K379" s="27"/>
      <c r="L379" s="8"/>
      <c r="M379" s="27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28"/>
      <c r="B380" s="28"/>
      <c r="C380" s="28"/>
      <c r="D380" s="26">
        <v>379.0</v>
      </c>
      <c r="E380" s="32"/>
      <c r="F380" s="34">
        <f t="shared" si="37"/>
        <v>0.03225806452</v>
      </c>
      <c r="G380" s="35">
        <f t="shared" si="38"/>
        <v>7170.254943</v>
      </c>
      <c r="H380" s="8"/>
      <c r="I380" s="8"/>
      <c r="J380" s="8"/>
      <c r="K380" s="27"/>
      <c r="L380" s="8"/>
      <c r="M380" s="27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28"/>
      <c r="B381" s="28"/>
      <c r="C381" s="28"/>
      <c r="D381" s="26">
        <v>380.0</v>
      </c>
      <c r="E381" s="32"/>
      <c r="F381" s="34">
        <f t="shared" si="37"/>
        <v>0</v>
      </c>
      <c r="G381" s="35">
        <f t="shared" si="38"/>
        <v>7183.548387</v>
      </c>
      <c r="H381" s="8"/>
      <c r="I381" s="8"/>
      <c r="J381" s="8"/>
      <c r="K381" s="27"/>
      <c r="L381" s="8"/>
      <c r="M381" s="27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27"/>
      <c r="B382" s="27"/>
      <c r="C382" s="27"/>
      <c r="D382" s="31" t="s">
        <v>77</v>
      </c>
      <c r="E382" s="8"/>
      <c r="F382" s="8"/>
      <c r="G382" s="14"/>
      <c r="H382" s="8"/>
      <c r="I382" s="8"/>
      <c r="J382" s="8"/>
      <c r="K382" s="27"/>
      <c r="L382" s="8"/>
      <c r="M382" s="27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27"/>
      <c r="B383" s="27"/>
      <c r="C383" s="27"/>
      <c r="D383" s="36"/>
      <c r="E383" s="8"/>
      <c r="F383" s="8"/>
      <c r="G383" s="14"/>
      <c r="H383" s="8"/>
      <c r="I383" s="8"/>
      <c r="J383" s="8"/>
      <c r="K383" s="27"/>
      <c r="L383" s="8"/>
      <c r="M383" s="27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27"/>
      <c r="B384" s="27"/>
      <c r="C384" s="27"/>
      <c r="D384" s="36"/>
      <c r="E384" s="8"/>
      <c r="F384" s="8"/>
      <c r="G384" s="14"/>
      <c r="H384" s="8"/>
      <c r="I384" s="8"/>
      <c r="J384" s="8"/>
      <c r="K384" s="27"/>
      <c r="L384" s="8"/>
      <c r="M384" s="27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27"/>
      <c r="B385" s="27"/>
      <c r="C385" s="27"/>
      <c r="D385" s="36"/>
      <c r="E385" s="8"/>
      <c r="F385" s="8"/>
      <c r="G385" s="14"/>
      <c r="H385" s="8"/>
      <c r="I385" s="8"/>
      <c r="J385" s="8"/>
      <c r="K385" s="27"/>
      <c r="L385" s="8"/>
      <c r="M385" s="27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27"/>
      <c r="B386" s="27"/>
      <c r="C386" s="27"/>
      <c r="D386" s="27"/>
      <c r="E386" s="8"/>
      <c r="F386" s="8"/>
      <c r="G386" s="14"/>
      <c r="H386" s="8"/>
      <c r="I386" s="8"/>
      <c r="J386" s="8"/>
      <c r="K386" s="27"/>
      <c r="L386" s="8"/>
      <c r="M386" s="27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27"/>
      <c r="B387" s="27"/>
      <c r="C387" s="27"/>
      <c r="D387" s="27"/>
      <c r="E387" s="8"/>
      <c r="F387" s="8"/>
      <c r="G387" s="14"/>
      <c r="H387" s="8"/>
      <c r="I387" s="8"/>
      <c r="J387" s="8"/>
      <c r="K387" s="27"/>
      <c r="L387" s="8"/>
      <c r="M387" s="27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27"/>
      <c r="B388" s="27"/>
      <c r="C388" s="27"/>
      <c r="D388" s="27"/>
      <c r="E388" s="8"/>
      <c r="F388" s="8"/>
      <c r="G388" s="14"/>
      <c r="H388" s="8"/>
      <c r="I388" s="8"/>
      <c r="J388" s="8"/>
      <c r="K388" s="27"/>
      <c r="L388" s="8"/>
      <c r="M388" s="27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27"/>
      <c r="B389" s="27"/>
      <c r="C389" s="27"/>
      <c r="D389" s="27"/>
      <c r="E389" s="8"/>
      <c r="F389" s="8"/>
      <c r="G389" s="14"/>
      <c r="H389" s="8"/>
      <c r="I389" s="8"/>
      <c r="J389" s="8"/>
      <c r="K389" s="27"/>
      <c r="L389" s="8"/>
      <c r="M389" s="27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27"/>
      <c r="B390" s="27"/>
      <c r="C390" s="27"/>
      <c r="D390" s="27"/>
      <c r="E390" s="8"/>
      <c r="F390" s="8"/>
      <c r="G390" s="14"/>
      <c r="H390" s="8"/>
      <c r="I390" s="8"/>
      <c r="J390" s="8"/>
      <c r="K390" s="27"/>
      <c r="L390" s="8"/>
      <c r="M390" s="27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27"/>
      <c r="B391" s="27"/>
      <c r="C391" s="27"/>
      <c r="D391" s="27"/>
      <c r="E391" s="8"/>
      <c r="F391" s="8"/>
      <c r="G391" s="14"/>
      <c r="H391" s="8"/>
      <c r="I391" s="8"/>
      <c r="J391" s="8"/>
      <c r="K391" s="27"/>
      <c r="L391" s="8"/>
      <c r="M391" s="27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27"/>
      <c r="B392" s="27"/>
      <c r="C392" s="27"/>
      <c r="D392" s="27"/>
      <c r="E392" s="8"/>
      <c r="F392" s="8"/>
      <c r="G392" s="14"/>
      <c r="H392" s="8"/>
      <c r="I392" s="8"/>
      <c r="J392" s="8"/>
      <c r="K392" s="27"/>
      <c r="L392" s="8"/>
      <c r="M392" s="27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27"/>
      <c r="B393" s="27"/>
      <c r="C393" s="27"/>
      <c r="D393" s="27"/>
      <c r="E393" s="8"/>
      <c r="F393" s="8"/>
      <c r="G393" s="14"/>
      <c r="H393" s="8"/>
      <c r="I393" s="8"/>
      <c r="J393" s="8"/>
      <c r="K393" s="27"/>
      <c r="L393" s="8"/>
      <c r="M393" s="27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27"/>
      <c r="B394" s="27"/>
      <c r="C394" s="27"/>
      <c r="D394" s="27"/>
      <c r="E394" s="8"/>
      <c r="F394" s="8"/>
      <c r="G394" s="14"/>
      <c r="H394" s="8"/>
      <c r="I394" s="8"/>
      <c r="J394" s="8"/>
      <c r="K394" s="27"/>
      <c r="L394" s="8"/>
      <c r="M394" s="27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27"/>
      <c r="B395" s="27"/>
      <c r="C395" s="27"/>
      <c r="D395" s="27"/>
      <c r="E395" s="8"/>
      <c r="F395" s="8"/>
      <c r="G395" s="14"/>
      <c r="H395" s="8"/>
      <c r="I395" s="8"/>
      <c r="J395" s="8"/>
      <c r="K395" s="27"/>
      <c r="L395" s="8"/>
      <c r="M395" s="27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27"/>
      <c r="B396" s="27"/>
      <c r="C396" s="27"/>
      <c r="D396" s="27"/>
      <c r="E396" s="8"/>
      <c r="F396" s="8"/>
      <c r="G396" s="14"/>
      <c r="H396" s="8"/>
      <c r="I396" s="8"/>
      <c r="J396" s="8"/>
      <c r="K396" s="27"/>
      <c r="L396" s="8"/>
      <c r="M396" s="27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27"/>
      <c r="B397" s="27"/>
      <c r="C397" s="27"/>
      <c r="D397" s="27"/>
      <c r="E397" s="8"/>
      <c r="F397" s="8"/>
      <c r="G397" s="14"/>
      <c r="H397" s="8"/>
      <c r="I397" s="8"/>
      <c r="J397" s="8"/>
      <c r="K397" s="27"/>
      <c r="L397" s="8"/>
      <c r="M397" s="27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27"/>
      <c r="B398" s="27"/>
      <c r="C398" s="27"/>
      <c r="D398" s="27"/>
      <c r="E398" s="8"/>
      <c r="F398" s="8"/>
      <c r="G398" s="14"/>
      <c r="H398" s="8"/>
      <c r="I398" s="8"/>
      <c r="J398" s="8"/>
      <c r="K398" s="27"/>
      <c r="L398" s="8"/>
      <c r="M398" s="27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27"/>
      <c r="B399" s="27"/>
      <c r="C399" s="27"/>
      <c r="D399" s="27"/>
      <c r="E399" s="8"/>
      <c r="F399" s="8"/>
      <c r="G399" s="14"/>
      <c r="H399" s="8"/>
      <c r="I399" s="8"/>
      <c r="J399" s="8"/>
      <c r="K399" s="27"/>
      <c r="L399" s="8"/>
      <c r="M399" s="27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27"/>
      <c r="B400" s="27"/>
      <c r="C400" s="27"/>
      <c r="D400" s="27"/>
      <c r="E400" s="8"/>
      <c r="F400" s="8"/>
      <c r="G400" s="14"/>
      <c r="H400" s="8"/>
      <c r="I400" s="8"/>
      <c r="J400" s="8"/>
      <c r="K400" s="27"/>
      <c r="L400" s="8"/>
      <c r="M400" s="27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27"/>
      <c r="B401" s="27"/>
      <c r="C401" s="27"/>
      <c r="D401" s="27"/>
      <c r="E401" s="8"/>
      <c r="F401" s="8"/>
      <c r="G401" s="14"/>
      <c r="H401" s="8"/>
      <c r="I401" s="8"/>
      <c r="J401" s="8"/>
      <c r="K401" s="27"/>
      <c r="L401" s="8"/>
      <c r="M401" s="27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27"/>
      <c r="B402" s="27"/>
      <c r="C402" s="27"/>
      <c r="D402" s="27"/>
      <c r="E402" s="8"/>
      <c r="F402" s="8"/>
      <c r="G402" s="14"/>
      <c r="H402" s="8"/>
      <c r="I402" s="8"/>
      <c r="J402" s="8"/>
      <c r="K402" s="27"/>
      <c r="L402" s="8"/>
      <c r="M402" s="27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27"/>
      <c r="B403" s="27"/>
      <c r="C403" s="27"/>
      <c r="D403" s="27"/>
      <c r="E403" s="8"/>
      <c r="F403" s="8"/>
      <c r="G403" s="14"/>
      <c r="H403" s="8"/>
      <c r="I403" s="8"/>
      <c r="J403" s="8"/>
      <c r="K403" s="27"/>
      <c r="L403" s="8"/>
      <c r="M403" s="27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27"/>
      <c r="B404" s="27"/>
      <c r="C404" s="27"/>
      <c r="D404" s="27"/>
      <c r="E404" s="8"/>
      <c r="F404" s="8"/>
      <c r="G404" s="14"/>
      <c r="H404" s="8"/>
      <c r="I404" s="8"/>
      <c r="J404" s="8"/>
      <c r="K404" s="27"/>
      <c r="L404" s="8"/>
      <c r="M404" s="27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27"/>
      <c r="B405" s="27"/>
      <c r="C405" s="27"/>
      <c r="D405" s="27"/>
      <c r="E405" s="8"/>
      <c r="F405" s="8"/>
      <c r="G405" s="14"/>
      <c r="H405" s="8"/>
      <c r="I405" s="8"/>
      <c r="J405" s="8"/>
      <c r="K405" s="27"/>
      <c r="L405" s="8"/>
      <c r="M405" s="27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27"/>
      <c r="B406" s="27"/>
      <c r="C406" s="27"/>
      <c r="D406" s="27"/>
      <c r="E406" s="8"/>
      <c r="F406" s="8"/>
      <c r="G406" s="14"/>
      <c r="H406" s="8"/>
      <c r="I406" s="8"/>
      <c r="J406" s="8"/>
      <c r="K406" s="27"/>
      <c r="L406" s="8"/>
      <c r="M406" s="27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27"/>
      <c r="B407" s="27"/>
      <c r="C407" s="27"/>
      <c r="D407" s="27"/>
      <c r="E407" s="8"/>
      <c r="F407" s="8"/>
      <c r="G407" s="14"/>
      <c r="H407" s="8"/>
      <c r="I407" s="8"/>
      <c r="J407" s="8"/>
      <c r="K407" s="27"/>
      <c r="L407" s="8"/>
      <c r="M407" s="27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27"/>
      <c r="B408" s="27"/>
      <c r="C408" s="27"/>
      <c r="D408" s="27"/>
      <c r="E408" s="8"/>
      <c r="F408" s="8"/>
      <c r="G408" s="14"/>
      <c r="H408" s="8"/>
      <c r="I408" s="8"/>
      <c r="J408" s="8"/>
      <c r="K408" s="27"/>
      <c r="L408" s="8"/>
      <c r="M408" s="27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27"/>
      <c r="B409" s="27"/>
      <c r="C409" s="27"/>
      <c r="D409" s="27"/>
      <c r="E409" s="8"/>
      <c r="F409" s="8"/>
      <c r="G409" s="14"/>
      <c r="H409" s="8"/>
      <c r="I409" s="8"/>
      <c r="J409" s="8"/>
      <c r="K409" s="27"/>
      <c r="L409" s="8"/>
      <c r="M409" s="27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27"/>
      <c r="B410" s="27"/>
      <c r="C410" s="27"/>
      <c r="D410" s="27"/>
      <c r="E410" s="8"/>
      <c r="F410" s="8"/>
      <c r="G410" s="14"/>
      <c r="H410" s="8"/>
      <c r="I410" s="8"/>
      <c r="J410" s="8"/>
      <c r="K410" s="27"/>
      <c r="L410" s="8"/>
      <c r="M410" s="27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27"/>
      <c r="B411" s="27"/>
      <c r="C411" s="27"/>
      <c r="D411" s="27"/>
      <c r="E411" s="8"/>
      <c r="F411" s="8"/>
      <c r="G411" s="14"/>
      <c r="H411" s="8"/>
      <c r="I411" s="8"/>
      <c r="J411" s="8"/>
      <c r="K411" s="27"/>
      <c r="L411" s="8"/>
      <c r="M411" s="27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27"/>
      <c r="B412" s="27"/>
      <c r="C412" s="27"/>
      <c r="D412" s="27"/>
      <c r="E412" s="8"/>
      <c r="F412" s="8"/>
      <c r="G412" s="14"/>
      <c r="H412" s="8"/>
      <c r="I412" s="8"/>
      <c r="J412" s="8"/>
      <c r="K412" s="27"/>
      <c r="L412" s="8"/>
      <c r="M412" s="27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27"/>
      <c r="B413" s="27"/>
      <c r="C413" s="27"/>
      <c r="D413" s="27"/>
      <c r="E413" s="8"/>
      <c r="F413" s="8"/>
      <c r="G413" s="14"/>
      <c r="H413" s="8"/>
      <c r="I413" s="8"/>
      <c r="J413" s="8"/>
      <c r="K413" s="27"/>
      <c r="L413" s="8"/>
      <c r="M413" s="27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27"/>
      <c r="B414" s="27"/>
      <c r="C414" s="27"/>
      <c r="D414" s="27"/>
      <c r="E414" s="8"/>
      <c r="F414" s="8"/>
      <c r="G414" s="14"/>
      <c r="H414" s="8"/>
      <c r="I414" s="8"/>
      <c r="J414" s="8"/>
      <c r="K414" s="27"/>
      <c r="L414" s="8"/>
      <c r="M414" s="27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27"/>
      <c r="B415" s="27"/>
      <c r="C415" s="27"/>
      <c r="D415" s="27"/>
      <c r="E415" s="8"/>
      <c r="F415" s="8"/>
      <c r="G415" s="14"/>
      <c r="H415" s="8"/>
      <c r="I415" s="8"/>
      <c r="J415" s="8"/>
      <c r="K415" s="27"/>
      <c r="L415" s="8"/>
      <c r="M415" s="27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27"/>
      <c r="B416" s="27"/>
      <c r="C416" s="27"/>
      <c r="D416" s="27"/>
      <c r="E416" s="8"/>
      <c r="F416" s="8"/>
      <c r="G416" s="14"/>
      <c r="H416" s="8"/>
      <c r="I416" s="8"/>
      <c r="J416" s="8"/>
      <c r="K416" s="27"/>
      <c r="L416" s="8"/>
      <c r="M416" s="27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27"/>
      <c r="B417" s="27"/>
      <c r="C417" s="27"/>
      <c r="D417" s="27"/>
      <c r="E417" s="8"/>
      <c r="F417" s="8"/>
      <c r="G417" s="14"/>
      <c r="H417" s="8"/>
      <c r="I417" s="8"/>
      <c r="J417" s="8"/>
      <c r="K417" s="27"/>
      <c r="L417" s="8"/>
      <c r="M417" s="27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27"/>
      <c r="B418" s="27"/>
      <c r="C418" s="27"/>
      <c r="D418" s="27"/>
      <c r="E418" s="8"/>
      <c r="F418" s="8"/>
      <c r="G418" s="14"/>
      <c r="H418" s="8"/>
      <c r="I418" s="8"/>
      <c r="J418" s="8"/>
      <c r="K418" s="27"/>
      <c r="L418" s="8"/>
      <c r="M418" s="27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27"/>
      <c r="B419" s="27"/>
      <c r="C419" s="27"/>
      <c r="D419" s="27"/>
      <c r="E419" s="8"/>
      <c r="F419" s="8"/>
      <c r="G419" s="14"/>
      <c r="H419" s="8"/>
      <c r="I419" s="8"/>
      <c r="J419" s="8"/>
      <c r="K419" s="27"/>
      <c r="L419" s="8"/>
      <c r="M419" s="27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27"/>
      <c r="B420" s="27"/>
      <c r="C420" s="27"/>
      <c r="D420" s="27"/>
      <c r="E420" s="8"/>
      <c r="F420" s="8"/>
      <c r="G420" s="14"/>
      <c r="H420" s="8"/>
      <c r="I420" s="8"/>
      <c r="J420" s="8"/>
      <c r="K420" s="27"/>
      <c r="L420" s="8"/>
      <c r="M420" s="27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27"/>
      <c r="B421" s="27"/>
      <c r="C421" s="27"/>
      <c r="D421" s="27"/>
      <c r="E421" s="8"/>
      <c r="F421" s="8"/>
      <c r="G421" s="14"/>
      <c r="H421" s="8"/>
      <c r="I421" s="8"/>
      <c r="J421" s="8"/>
      <c r="K421" s="27"/>
      <c r="L421" s="8"/>
      <c r="M421" s="27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27"/>
      <c r="B422" s="27"/>
      <c r="C422" s="27"/>
      <c r="D422" s="27"/>
      <c r="E422" s="8"/>
      <c r="F422" s="8"/>
      <c r="G422" s="14"/>
      <c r="H422" s="8"/>
      <c r="I422" s="8"/>
      <c r="J422" s="8"/>
      <c r="K422" s="27"/>
      <c r="L422" s="8"/>
      <c r="M422" s="27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27"/>
      <c r="B423" s="27"/>
      <c r="C423" s="27"/>
      <c r="D423" s="27"/>
      <c r="E423" s="8"/>
      <c r="F423" s="8"/>
      <c r="G423" s="14"/>
      <c r="H423" s="8"/>
      <c r="I423" s="8"/>
      <c r="J423" s="8"/>
      <c r="K423" s="27"/>
      <c r="L423" s="8"/>
      <c r="M423" s="27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27"/>
      <c r="B424" s="27"/>
      <c r="C424" s="27"/>
      <c r="D424" s="27"/>
      <c r="E424" s="8"/>
      <c r="F424" s="8"/>
      <c r="G424" s="14"/>
      <c r="H424" s="8"/>
      <c r="I424" s="8"/>
      <c r="J424" s="8"/>
      <c r="K424" s="27"/>
      <c r="L424" s="8"/>
      <c r="M424" s="27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27"/>
      <c r="B425" s="27"/>
      <c r="C425" s="27"/>
      <c r="D425" s="27"/>
      <c r="E425" s="8"/>
      <c r="F425" s="8"/>
      <c r="G425" s="14"/>
      <c r="H425" s="8"/>
      <c r="I425" s="8"/>
      <c r="J425" s="8"/>
      <c r="K425" s="27"/>
      <c r="L425" s="8"/>
      <c r="M425" s="27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27"/>
      <c r="B426" s="27"/>
      <c r="C426" s="27"/>
      <c r="D426" s="27"/>
      <c r="E426" s="8"/>
      <c r="F426" s="8"/>
      <c r="G426" s="14"/>
      <c r="H426" s="8"/>
      <c r="I426" s="8"/>
      <c r="J426" s="8"/>
      <c r="K426" s="27"/>
      <c r="L426" s="8"/>
      <c r="M426" s="27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27"/>
      <c r="B427" s="27"/>
      <c r="C427" s="27"/>
      <c r="D427" s="27"/>
      <c r="E427" s="8"/>
      <c r="F427" s="8"/>
      <c r="G427" s="14"/>
      <c r="H427" s="8"/>
      <c r="I427" s="8"/>
      <c r="J427" s="8"/>
      <c r="K427" s="27"/>
      <c r="L427" s="8"/>
      <c r="M427" s="27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27"/>
      <c r="B428" s="27"/>
      <c r="C428" s="27"/>
      <c r="D428" s="27"/>
      <c r="E428" s="8"/>
      <c r="F428" s="8"/>
      <c r="G428" s="14"/>
      <c r="H428" s="8"/>
      <c r="I428" s="8"/>
      <c r="J428" s="8"/>
      <c r="K428" s="27"/>
      <c r="L428" s="8"/>
      <c r="M428" s="27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27"/>
      <c r="B429" s="27"/>
      <c r="C429" s="27"/>
      <c r="D429" s="27"/>
      <c r="E429" s="8"/>
      <c r="F429" s="8"/>
      <c r="G429" s="14"/>
      <c r="H429" s="8"/>
      <c r="I429" s="8"/>
      <c r="J429" s="8"/>
      <c r="K429" s="27"/>
      <c r="L429" s="8"/>
      <c r="M429" s="27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27"/>
      <c r="B430" s="27"/>
      <c r="C430" s="27"/>
      <c r="D430" s="27"/>
      <c r="E430" s="8"/>
      <c r="F430" s="8"/>
      <c r="G430" s="14"/>
      <c r="H430" s="8"/>
      <c r="I430" s="8"/>
      <c r="J430" s="8"/>
      <c r="K430" s="27"/>
      <c r="L430" s="8"/>
      <c r="M430" s="27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27"/>
      <c r="B431" s="27"/>
      <c r="C431" s="27"/>
      <c r="D431" s="27"/>
      <c r="E431" s="8"/>
      <c r="F431" s="8"/>
      <c r="G431" s="14"/>
      <c r="H431" s="8"/>
      <c r="I431" s="8"/>
      <c r="J431" s="8"/>
      <c r="K431" s="27"/>
      <c r="L431" s="8"/>
      <c r="M431" s="27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27"/>
      <c r="B432" s="27"/>
      <c r="C432" s="27"/>
      <c r="D432" s="27"/>
      <c r="E432" s="8"/>
      <c r="F432" s="8"/>
      <c r="G432" s="14"/>
      <c r="H432" s="8"/>
      <c r="I432" s="8"/>
      <c r="J432" s="8"/>
      <c r="K432" s="27"/>
      <c r="L432" s="8"/>
      <c r="M432" s="27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27"/>
      <c r="B433" s="27"/>
      <c r="C433" s="27"/>
      <c r="D433" s="27"/>
      <c r="E433" s="8"/>
      <c r="F433" s="8"/>
      <c r="G433" s="14"/>
      <c r="H433" s="8"/>
      <c r="I433" s="8"/>
      <c r="J433" s="8"/>
      <c r="K433" s="27"/>
      <c r="L433" s="8"/>
      <c r="M433" s="27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27"/>
      <c r="B434" s="27"/>
      <c r="C434" s="27"/>
      <c r="D434" s="27"/>
      <c r="E434" s="8"/>
      <c r="F434" s="8"/>
      <c r="G434" s="14"/>
      <c r="H434" s="8"/>
      <c r="I434" s="8"/>
      <c r="J434" s="8"/>
      <c r="K434" s="27"/>
      <c r="L434" s="8"/>
      <c r="M434" s="27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27"/>
      <c r="B435" s="27"/>
      <c r="C435" s="27"/>
      <c r="D435" s="27"/>
      <c r="E435" s="8"/>
      <c r="F435" s="8"/>
      <c r="G435" s="14"/>
      <c r="H435" s="8"/>
      <c r="I435" s="8"/>
      <c r="J435" s="8"/>
      <c r="K435" s="27"/>
      <c r="L435" s="8"/>
      <c r="M435" s="27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27"/>
      <c r="B436" s="27"/>
      <c r="C436" s="27"/>
      <c r="D436" s="27"/>
      <c r="E436" s="8"/>
      <c r="F436" s="8"/>
      <c r="G436" s="14"/>
      <c r="H436" s="8"/>
      <c r="I436" s="8"/>
      <c r="J436" s="8"/>
      <c r="K436" s="27"/>
      <c r="L436" s="8"/>
      <c r="M436" s="27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27"/>
      <c r="B437" s="27"/>
      <c r="C437" s="27"/>
      <c r="D437" s="27"/>
      <c r="E437" s="8"/>
      <c r="F437" s="8"/>
      <c r="G437" s="14"/>
      <c r="H437" s="8"/>
      <c r="I437" s="8"/>
      <c r="J437" s="8"/>
      <c r="K437" s="27"/>
      <c r="L437" s="8"/>
      <c r="M437" s="27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27"/>
      <c r="B438" s="27"/>
      <c r="C438" s="27"/>
      <c r="D438" s="27"/>
      <c r="E438" s="8"/>
      <c r="F438" s="8"/>
      <c r="G438" s="14"/>
      <c r="H438" s="8"/>
      <c r="I438" s="8"/>
      <c r="J438" s="8"/>
      <c r="K438" s="27"/>
      <c r="L438" s="8"/>
      <c r="M438" s="27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27"/>
      <c r="B439" s="27"/>
      <c r="C439" s="27"/>
      <c r="D439" s="27"/>
      <c r="E439" s="8"/>
      <c r="F439" s="8"/>
      <c r="G439" s="14"/>
      <c r="H439" s="8"/>
      <c r="I439" s="8"/>
      <c r="J439" s="8"/>
      <c r="K439" s="27"/>
      <c r="L439" s="8"/>
      <c r="M439" s="27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27"/>
      <c r="B440" s="27"/>
      <c r="C440" s="27"/>
      <c r="D440" s="27"/>
      <c r="E440" s="8"/>
      <c r="F440" s="8"/>
      <c r="G440" s="14"/>
      <c r="H440" s="8"/>
      <c r="I440" s="8"/>
      <c r="J440" s="8"/>
      <c r="K440" s="27"/>
      <c r="L440" s="8"/>
      <c r="M440" s="27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27"/>
      <c r="B441" s="27"/>
      <c r="C441" s="27"/>
      <c r="D441" s="27"/>
      <c r="E441" s="8"/>
      <c r="F441" s="8"/>
      <c r="G441" s="14"/>
      <c r="H441" s="8"/>
      <c r="I441" s="8"/>
      <c r="J441" s="8"/>
      <c r="K441" s="27"/>
      <c r="L441" s="8"/>
      <c r="M441" s="27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27"/>
      <c r="B442" s="27"/>
      <c r="C442" s="27"/>
      <c r="D442" s="27"/>
      <c r="E442" s="8"/>
      <c r="F442" s="8"/>
      <c r="G442" s="14"/>
      <c r="H442" s="8"/>
      <c r="I442" s="8"/>
      <c r="J442" s="8"/>
      <c r="K442" s="27"/>
      <c r="L442" s="8"/>
      <c r="M442" s="27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27"/>
      <c r="B443" s="27"/>
      <c r="C443" s="27"/>
      <c r="D443" s="27"/>
      <c r="E443" s="8"/>
      <c r="F443" s="8"/>
      <c r="G443" s="14"/>
      <c r="H443" s="8"/>
      <c r="I443" s="8"/>
      <c r="J443" s="8"/>
      <c r="K443" s="27"/>
      <c r="L443" s="8"/>
      <c r="M443" s="27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27"/>
      <c r="B444" s="27"/>
      <c r="C444" s="27"/>
      <c r="D444" s="27"/>
      <c r="E444" s="8"/>
      <c r="F444" s="8"/>
      <c r="G444" s="14"/>
      <c r="H444" s="8"/>
      <c r="I444" s="8"/>
      <c r="J444" s="8"/>
      <c r="K444" s="27"/>
      <c r="L444" s="8"/>
      <c r="M444" s="27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27"/>
      <c r="B445" s="27"/>
      <c r="C445" s="27"/>
      <c r="D445" s="27"/>
      <c r="E445" s="8"/>
      <c r="F445" s="8"/>
      <c r="G445" s="14"/>
      <c r="H445" s="8"/>
      <c r="I445" s="8"/>
      <c r="J445" s="8"/>
      <c r="K445" s="27"/>
      <c r="L445" s="8"/>
      <c r="M445" s="27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27"/>
      <c r="B446" s="27"/>
      <c r="C446" s="27"/>
      <c r="D446" s="27"/>
      <c r="E446" s="8"/>
      <c r="F446" s="8"/>
      <c r="G446" s="14"/>
      <c r="H446" s="8"/>
      <c r="I446" s="8"/>
      <c r="J446" s="8"/>
      <c r="K446" s="27"/>
      <c r="L446" s="8"/>
      <c r="M446" s="27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27"/>
      <c r="B447" s="27"/>
      <c r="C447" s="27"/>
      <c r="D447" s="27"/>
      <c r="E447" s="8"/>
      <c r="F447" s="8"/>
      <c r="G447" s="14"/>
      <c r="H447" s="8"/>
      <c r="I447" s="8"/>
      <c r="J447" s="8"/>
      <c r="K447" s="27"/>
      <c r="L447" s="8"/>
      <c r="M447" s="27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27"/>
      <c r="B448" s="27"/>
      <c r="C448" s="27"/>
      <c r="D448" s="27"/>
      <c r="E448" s="8"/>
      <c r="F448" s="8"/>
      <c r="G448" s="14"/>
      <c r="H448" s="8"/>
      <c r="I448" s="8"/>
      <c r="J448" s="8"/>
      <c r="K448" s="27"/>
      <c r="L448" s="8"/>
      <c r="M448" s="27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27"/>
      <c r="B449" s="27"/>
      <c r="C449" s="27"/>
      <c r="D449" s="27"/>
      <c r="E449" s="8"/>
      <c r="F449" s="8"/>
      <c r="G449" s="14"/>
      <c r="H449" s="8"/>
      <c r="I449" s="8"/>
      <c r="J449" s="8"/>
      <c r="K449" s="27"/>
      <c r="L449" s="8"/>
      <c r="M449" s="27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27"/>
      <c r="B450" s="27"/>
      <c r="C450" s="27"/>
      <c r="D450" s="27"/>
      <c r="E450" s="8"/>
      <c r="F450" s="8"/>
      <c r="G450" s="14"/>
      <c r="H450" s="8"/>
      <c r="I450" s="8"/>
      <c r="J450" s="8"/>
      <c r="K450" s="27"/>
      <c r="L450" s="8"/>
      <c r="M450" s="27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27"/>
      <c r="B451" s="27"/>
      <c r="C451" s="27"/>
      <c r="D451" s="27"/>
      <c r="E451" s="8"/>
      <c r="F451" s="8"/>
      <c r="G451" s="14"/>
      <c r="H451" s="8"/>
      <c r="I451" s="8"/>
      <c r="J451" s="8"/>
      <c r="K451" s="27"/>
      <c r="L451" s="8"/>
      <c r="M451" s="27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27"/>
      <c r="B452" s="27"/>
      <c r="C452" s="27"/>
      <c r="D452" s="27"/>
      <c r="E452" s="8"/>
      <c r="F452" s="8"/>
      <c r="G452" s="14"/>
      <c r="H452" s="8"/>
      <c r="I452" s="8"/>
      <c r="J452" s="8"/>
      <c r="K452" s="27"/>
      <c r="L452" s="8"/>
      <c r="M452" s="27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27"/>
      <c r="B453" s="27"/>
      <c r="C453" s="27"/>
      <c r="D453" s="27"/>
      <c r="E453" s="8"/>
      <c r="F453" s="8"/>
      <c r="G453" s="14"/>
      <c r="H453" s="8"/>
      <c r="I453" s="8"/>
      <c r="J453" s="8"/>
      <c r="K453" s="27"/>
      <c r="L453" s="8"/>
      <c r="M453" s="27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27"/>
      <c r="B454" s="27"/>
      <c r="C454" s="27"/>
      <c r="D454" s="27"/>
      <c r="E454" s="8"/>
      <c r="F454" s="8"/>
      <c r="G454" s="14"/>
      <c r="H454" s="8"/>
      <c r="I454" s="8"/>
      <c r="J454" s="8"/>
      <c r="K454" s="27"/>
      <c r="L454" s="8"/>
      <c r="M454" s="27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27"/>
      <c r="B455" s="27"/>
      <c r="C455" s="27"/>
      <c r="D455" s="27"/>
      <c r="E455" s="8"/>
      <c r="F455" s="8"/>
      <c r="G455" s="14"/>
      <c r="H455" s="8"/>
      <c r="I455" s="8"/>
      <c r="J455" s="8"/>
      <c r="K455" s="27"/>
      <c r="L455" s="8"/>
      <c r="M455" s="27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27"/>
      <c r="B456" s="27"/>
      <c r="C456" s="27"/>
      <c r="D456" s="27"/>
      <c r="E456" s="8"/>
      <c r="F456" s="8"/>
      <c r="G456" s="14"/>
      <c r="H456" s="8"/>
      <c r="I456" s="8"/>
      <c r="J456" s="8"/>
      <c r="K456" s="27"/>
      <c r="L456" s="8"/>
      <c r="M456" s="27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27"/>
      <c r="B457" s="27"/>
      <c r="C457" s="27"/>
      <c r="D457" s="27"/>
      <c r="E457" s="8"/>
      <c r="F457" s="8"/>
      <c r="G457" s="14"/>
      <c r="H457" s="8"/>
      <c r="I457" s="8"/>
      <c r="J457" s="8"/>
      <c r="K457" s="27"/>
      <c r="L457" s="8"/>
      <c r="M457" s="27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27"/>
      <c r="B458" s="27"/>
      <c r="C458" s="27"/>
      <c r="D458" s="27"/>
      <c r="E458" s="8"/>
      <c r="F458" s="8"/>
      <c r="G458" s="14"/>
      <c r="H458" s="8"/>
      <c r="I458" s="8"/>
      <c r="J458" s="8"/>
      <c r="K458" s="27"/>
      <c r="L458" s="8"/>
      <c r="M458" s="27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27"/>
      <c r="B459" s="27"/>
      <c r="C459" s="27"/>
      <c r="D459" s="27"/>
      <c r="E459" s="8"/>
      <c r="F459" s="8"/>
      <c r="G459" s="14"/>
      <c r="H459" s="8"/>
      <c r="I459" s="8"/>
      <c r="J459" s="8"/>
      <c r="K459" s="27"/>
      <c r="L459" s="8"/>
      <c r="M459" s="27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27"/>
      <c r="B460" s="27"/>
      <c r="C460" s="27"/>
      <c r="D460" s="27"/>
      <c r="E460" s="8"/>
      <c r="F460" s="8"/>
      <c r="G460" s="14"/>
      <c r="H460" s="8"/>
      <c r="I460" s="8"/>
      <c r="J460" s="8"/>
      <c r="K460" s="27"/>
      <c r="L460" s="8"/>
      <c r="M460" s="27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27"/>
      <c r="B461" s="27"/>
      <c r="C461" s="27"/>
      <c r="D461" s="27"/>
      <c r="E461" s="8"/>
      <c r="F461" s="8"/>
      <c r="G461" s="14"/>
      <c r="H461" s="8"/>
      <c r="I461" s="8"/>
      <c r="J461" s="8"/>
      <c r="K461" s="27"/>
      <c r="L461" s="8"/>
      <c r="M461" s="27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27"/>
      <c r="B462" s="27"/>
      <c r="C462" s="27"/>
      <c r="D462" s="27"/>
      <c r="E462" s="8"/>
      <c r="F462" s="8"/>
      <c r="G462" s="14"/>
      <c r="H462" s="8"/>
      <c r="I462" s="8"/>
      <c r="J462" s="8"/>
      <c r="K462" s="27"/>
      <c r="L462" s="8"/>
      <c r="M462" s="27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27"/>
      <c r="B463" s="27"/>
      <c r="C463" s="27"/>
      <c r="D463" s="27"/>
      <c r="E463" s="8"/>
      <c r="F463" s="8"/>
      <c r="G463" s="14"/>
      <c r="H463" s="8"/>
      <c r="I463" s="8"/>
      <c r="J463" s="8"/>
      <c r="K463" s="27"/>
      <c r="L463" s="8"/>
      <c r="M463" s="27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27"/>
      <c r="B464" s="27"/>
      <c r="C464" s="27"/>
      <c r="D464" s="27"/>
      <c r="E464" s="8"/>
      <c r="F464" s="8"/>
      <c r="G464" s="14"/>
      <c r="H464" s="8"/>
      <c r="I464" s="8"/>
      <c r="J464" s="8"/>
      <c r="K464" s="27"/>
      <c r="L464" s="8"/>
      <c r="M464" s="27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27"/>
      <c r="B465" s="27"/>
      <c r="C465" s="27"/>
      <c r="D465" s="27"/>
      <c r="E465" s="8"/>
      <c r="F465" s="8"/>
      <c r="G465" s="14"/>
      <c r="H465" s="8"/>
      <c r="I465" s="8"/>
      <c r="J465" s="8"/>
      <c r="K465" s="27"/>
      <c r="L465" s="8"/>
      <c r="M465" s="27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27"/>
      <c r="B466" s="27"/>
      <c r="C466" s="27"/>
      <c r="D466" s="27"/>
      <c r="E466" s="8"/>
      <c r="F466" s="8"/>
      <c r="G466" s="14"/>
      <c r="H466" s="8"/>
      <c r="I466" s="8"/>
      <c r="J466" s="8"/>
      <c r="K466" s="27"/>
      <c r="L466" s="8"/>
      <c r="M466" s="27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27"/>
      <c r="B467" s="27"/>
      <c r="C467" s="27"/>
      <c r="D467" s="27"/>
      <c r="E467" s="8"/>
      <c r="F467" s="8"/>
      <c r="G467" s="14"/>
      <c r="H467" s="8"/>
      <c r="I467" s="8"/>
      <c r="J467" s="8"/>
      <c r="K467" s="27"/>
      <c r="L467" s="8"/>
      <c r="M467" s="27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27"/>
      <c r="B468" s="27"/>
      <c r="C468" s="27"/>
      <c r="D468" s="27"/>
      <c r="E468" s="8"/>
      <c r="F468" s="8"/>
      <c r="G468" s="14"/>
      <c r="H468" s="8"/>
      <c r="I468" s="8"/>
      <c r="J468" s="8"/>
      <c r="K468" s="27"/>
      <c r="L468" s="8"/>
      <c r="M468" s="27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27"/>
      <c r="B469" s="27"/>
      <c r="C469" s="27"/>
      <c r="D469" s="27"/>
      <c r="E469" s="8"/>
      <c r="F469" s="8"/>
      <c r="G469" s="14"/>
      <c r="H469" s="8"/>
      <c r="I469" s="8"/>
      <c r="J469" s="8"/>
      <c r="K469" s="27"/>
      <c r="L469" s="8"/>
      <c r="M469" s="27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27"/>
      <c r="B470" s="27"/>
      <c r="C470" s="27"/>
      <c r="D470" s="27"/>
      <c r="E470" s="8"/>
      <c r="F470" s="8"/>
      <c r="G470" s="14"/>
      <c r="H470" s="8"/>
      <c r="I470" s="8"/>
      <c r="J470" s="8"/>
      <c r="K470" s="27"/>
      <c r="L470" s="8"/>
      <c r="M470" s="27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27"/>
      <c r="B471" s="27"/>
      <c r="C471" s="27"/>
      <c r="D471" s="27"/>
      <c r="E471" s="8"/>
      <c r="F471" s="8"/>
      <c r="G471" s="14"/>
      <c r="H471" s="8"/>
      <c r="I471" s="8"/>
      <c r="J471" s="8"/>
      <c r="K471" s="27"/>
      <c r="L471" s="8"/>
      <c r="M471" s="27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27"/>
      <c r="B472" s="27"/>
      <c r="C472" s="27"/>
      <c r="D472" s="27"/>
      <c r="E472" s="8"/>
      <c r="F472" s="8"/>
      <c r="G472" s="14"/>
      <c r="H472" s="8"/>
      <c r="I472" s="8"/>
      <c r="J472" s="8"/>
      <c r="K472" s="27"/>
      <c r="L472" s="8"/>
      <c r="M472" s="27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27"/>
      <c r="B473" s="27"/>
      <c r="C473" s="27"/>
      <c r="D473" s="27"/>
      <c r="E473" s="8"/>
      <c r="F473" s="8"/>
      <c r="G473" s="14"/>
      <c r="H473" s="8"/>
      <c r="I473" s="8"/>
      <c r="J473" s="8"/>
      <c r="K473" s="27"/>
      <c r="L473" s="8"/>
      <c r="M473" s="27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27"/>
      <c r="B474" s="27"/>
      <c r="C474" s="27"/>
      <c r="D474" s="27"/>
      <c r="E474" s="8"/>
      <c r="F474" s="8"/>
      <c r="G474" s="14"/>
      <c r="H474" s="8"/>
      <c r="I474" s="8"/>
      <c r="J474" s="8"/>
      <c r="K474" s="27"/>
      <c r="L474" s="8"/>
      <c r="M474" s="27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27"/>
      <c r="B475" s="27"/>
      <c r="C475" s="27"/>
      <c r="D475" s="27"/>
      <c r="E475" s="8"/>
      <c r="F475" s="8"/>
      <c r="G475" s="14"/>
      <c r="H475" s="8"/>
      <c r="I475" s="8"/>
      <c r="J475" s="8"/>
      <c r="K475" s="27"/>
      <c r="L475" s="8"/>
      <c r="M475" s="27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27"/>
      <c r="B476" s="27"/>
      <c r="C476" s="27"/>
      <c r="D476" s="27"/>
      <c r="E476" s="8"/>
      <c r="F476" s="8"/>
      <c r="G476" s="14"/>
      <c r="H476" s="8"/>
      <c r="I476" s="8"/>
      <c r="J476" s="8"/>
      <c r="K476" s="27"/>
      <c r="L476" s="8"/>
      <c r="M476" s="27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27"/>
      <c r="B477" s="27"/>
      <c r="C477" s="27"/>
      <c r="D477" s="27"/>
      <c r="E477" s="8"/>
      <c r="F477" s="8"/>
      <c r="G477" s="14"/>
      <c r="H477" s="8"/>
      <c r="I477" s="8"/>
      <c r="J477" s="8"/>
      <c r="K477" s="27"/>
      <c r="L477" s="8"/>
      <c r="M477" s="27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27"/>
      <c r="B478" s="27"/>
      <c r="C478" s="27"/>
      <c r="D478" s="27"/>
      <c r="E478" s="8"/>
      <c r="F478" s="8"/>
      <c r="G478" s="14"/>
      <c r="H478" s="8"/>
      <c r="I478" s="8"/>
      <c r="J478" s="8"/>
      <c r="K478" s="27"/>
      <c r="L478" s="8"/>
      <c r="M478" s="27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27"/>
      <c r="B479" s="27"/>
      <c r="C479" s="27"/>
      <c r="D479" s="27"/>
      <c r="E479" s="8"/>
      <c r="F479" s="8"/>
      <c r="G479" s="14"/>
      <c r="H479" s="8"/>
      <c r="I479" s="8"/>
      <c r="J479" s="8"/>
      <c r="K479" s="27"/>
      <c r="L479" s="8"/>
      <c r="M479" s="27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27"/>
      <c r="B480" s="27"/>
      <c r="C480" s="27"/>
      <c r="D480" s="27"/>
      <c r="E480" s="8"/>
      <c r="F480" s="8"/>
      <c r="G480" s="14"/>
      <c r="H480" s="8"/>
      <c r="I480" s="8"/>
      <c r="J480" s="8"/>
      <c r="K480" s="27"/>
      <c r="L480" s="8"/>
      <c r="M480" s="27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27"/>
      <c r="B481" s="27"/>
      <c r="C481" s="27"/>
      <c r="D481" s="27"/>
      <c r="E481" s="8"/>
      <c r="F481" s="8"/>
      <c r="G481" s="14"/>
      <c r="H481" s="8"/>
      <c r="I481" s="8"/>
      <c r="J481" s="8"/>
      <c r="K481" s="27"/>
      <c r="L481" s="8"/>
      <c r="M481" s="27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27"/>
      <c r="B482" s="27"/>
      <c r="C482" s="27"/>
      <c r="D482" s="27"/>
      <c r="E482" s="8"/>
      <c r="F482" s="8"/>
      <c r="G482" s="14"/>
      <c r="H482" s="8"/>
      <c r="I482" s="8"/>
      <c r="J482" s="8"/>
      <c r="K482" s="27"/>
      <c r="L482" s="8"/>
      <c r="M482" s="27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27"/>
      <c r="B483" s="27"/>
      <c r="C483" s="27"/>
      <c r="D483" s="27"/>
      <c r="E483" s="8"/>
      <c r="F483" s="8"/>
      <c r="G483" s="14"/>
      <c r="H483" s="8"/>
      <c r="I483" s="8"/>
      <c r="J483" s="8"/>
      <c r="K483" s="27"/>
      <c r="L483" s="8"/>
      <c r="M483" s="27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27"/>
      <c r="B484" s="27"/>
      <c r="C484" s="27"/>
      <c r="D484" s="27"/>
      <c r="E484" s="8"/>
      <c r="F484" s="8"/>
      <c r="G484" s="14"/>
      <c r="H484" s="8"/>
      <c r="I484" s="8"/>
      <c r="J484" s="8"/>
      <c r="K484" s="27"/>
      <c r="L484" s="8"/>
      <c r="M484" s="27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27"/>
      <c r="B485" s="27"/>
      <c r="C485" s="27"/>
      <c r="D485" s="27"/>
      <c r="E485" s="8"/>
      <c r="F485" s="8"/>
      <c r="G485" s="14"/>
      <c r="H485" s="8"/>
      <c r="I485" s="8"/>
      <c r="J485" s="8"/>
      <c r="K485" s="27"/>
      <c r="L485" s="8"/>
      <c r="M485" s="27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27"/>
      <c r="B486" s="27"/>
      <c r="C486" s="27"/>
      <c r="D486" s="27"/>
      <c r="E486" s="8"/>
      <c r="F486" s="8"/>
      <c r="G486" s="14"/>
      <c r="H486" s="8"/>
      <c r="I486" s="8"/>
      <c r="J486" s="8"/>
      <c r="K486" s="27"/>
      <c r="L486" s="8"/>
      <c r="M486" s="27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27"/>
      <c r="B487" s="27"/>
      <c r="C487" s="27"/>
      <c r="D487" s="27"/>
      <c r="E487" s="8"/>
      <c r="F487" s="8"/>
      <c r="G487" s="14"/>
      <c r="H487" s="8"/>
      <c r="I487" s="8"/>
      <c r="J487" s="8"/>
      <c r="K487" s="27"/>
      <c r="L487" s="8"/>
      <c r="M487" s="27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27"/>
      <c r="B488" s="27"/>
      <c r="C488" s="27"/>
      <c r="D488" s="27"/>
      <c r="E488" s="8"/>
      <c r="F488" s="8"/>
      <c r="G488" s="14"/>
      <c r="H488" s="8"/>
      <c r="I488" s="8"/>
      <c r="J488" s="8"/>
      <c r="K488" s="27"/>
      <c r="L488" s="8"/>
      <c r="M488" s="27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27"/>
      <c r="B489" s="27"/>
      <c r="C489" s="27"/>
      <c r="D489" s="27"/>
      <c r="E489" s="8"/>
      <c r="F489" s="8"/>
      <c r="G489" s="14"/>
      <c r="H489" s="8"/>
      <c r="I489" s="8"/>
      <c r="J489" s="8"/>
      <c r="K489" s="27"/>
      <c r="L489" s="8"/>
      <c r="M489" s="27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27"/>
      <c r="B490" s="27"/>
      <c r="C490" s="27"/>
      <c r="D490" s="27"/>
      <c r="E490" s="8"/>
      <c r="F490" s="8"/>
      <c r="G490" s="14"/>
      <c r="H490" s="8"/>
      <c r="I490" s="8"/>
      <c r="J490" s="8"/>
      <c r="K490" s="27"/>
      <c r="L490" s="8"/>
      <c r="M490" s="27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27"/>
      <c r="B491" s="27"/>
      <c r="C491" s="27"/>
      <c r="D491" s="27"/>
      <c r="E491" s="8"/>
      <c r="F491" s="8"/>
      <c r="G491" s="14"/>
      <c r="H491" s="8"/>
      <c r="I491" s="8"/>
      <c r="J491" s="8"/>
      <c r="K491" s="27"/>
      <c r="L491" s="8"/>
      <c r="M491" s="27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27"/>
      <c r="B492" s="27"/>
      <c r="C492" s="27"/>
      <c r="D492" s="27"/>
      <c r="E492" s="8"/>
      <c r="F492" s="8"/>
      <c r="G492" s="14"/>
      <c r="H492" s="8"/>
      <c r="I492" s="8"/>
      <c r="J492" s="8"/>
      <c r="K492" s="27"/>
      <c r="L492" s="8"/>
      <c r="M492" s="27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27"/>
      <c r="B493" s="27"/>
      <c r="C493" s="27"/>
      <c r="D493" s="27"/>
      <c r="E493" s="8"/>
      <c r="F493" s="8"/>
      <c r="G493" s="14"/>
      <c r="H493" s="8"/>
      <c r="I493" s="8"/>
      <c r="J493" s="8"/>
      <c r="K493" s="27"/>
      <c r="L493" s="8"/>
      <c r="M493" s="27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27"/>
      <c r="B494" s="27"/>
      <c r="C494" s="27"/>
      <c r="D494" s="27"/>
      <c r="E494" s="8"/>
      <c r="F494" s="8"/>
      <c r="G494" s="14"/>
      <c r="H494" s="8"/>
      <c r="I494" s="8"/>
      <c r="J494" s="8"/>
      <c r="K494" s="27"/>
      <c r="L494" s="8"/>
      <c r="M494" s="27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27"/>
      <c r="B495" s="27"/>
      <c r="C495" s="27"/>
      <c r="D495" s="27"/>
      <c r="E495" s="8"/>
      <c r="F495" s="8"/>
      <c r="G495" s="14"/>
      <c r="H495" s="8"/>
      <c r="I495" s="8"/>
      <c r="J495" s="8"/>
      <c r="K495" s="27"/>
      <c r="L495" s="8"/>
      <c r="M495" s="27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27"/>
      <c r="B496" s="27"/>
      <c r="C496" s="27"/>
      <c r="D496" s="27"/>
      <c r="E496" s="8"/>
      <c r="F496" s="8"/>
      <c r="G496" s="14"/>
      <c r="H496" s="8"/>
      <c r="I496" s="8"/>
      <c r="J496" s="8"/>
      <c r="K496" s="27"/>
      <c r="L496" s="8"/>
      <c r="M496" s="27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27"/>
      <c r="B497" s="27"/>
      <c r="C497" s="27"/>
      <c r="D497" s="27"/>
      <c r="E497" s="8"/>
      <c r="F497" s="8"/>
      <c r="G497" s="14"/>
      <c r="H497" s="8"/>
      <c r="I497" s="8"/>
      <c r="J497" s="8"/>
      <c r="K497" s="27"/>
      <c r="L497" s="8"/>
      <c r="M497" s="27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27"/>
      <c r="B498" s="27"/>
      <c r="C498" s="27"/>
      <c r="D498" s="27"/>
      <c r="E498" s="8"/>
      <c r="F498" s="8"/>
      <c r="G498" s="14"/>
      <c r="H498" s="8"/>
      <c r="I498" s="8"/>
      <c r="J498" s="8"/>
      <c r="K498" s="27"/>
      <c r="L498" s="8"/>
      <c r="M498" s="27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27"/>
      <c r="B499" s="27"/>
      <c r="C499" s="27"/>
      <c r="D499" s="27"/>
      <c r="E499" s="8"/>
      <c r="F499" s="8"/>
      <c r="G499" s="14"/>
      <c r="H499" s="8"/>
      <c r="I499" s="8"/>
      <c r="J499" s="8"/>
      <c r="K499" s="27"/>
      <c r="L499" s="8"/>
      <c r="M499" s="27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27"/>
      <c r="B500" s="27"/>
      <c r="C500" s="27"/>
      <c r="D500" s="27"/>
      <c r="E500" s="8"/>
      <c r="F500" s="8"/>
      <c r="G500" s="14"/>
      <c r="H500" s="8"/>
      <c r="I500" s="8"/>
      <c r="J500" s="8"/>
      <c r="K500" s="27"/>
      <c r="L500" s="8"/>
      <c r="M500" s="27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27"/>
      <c r="B501" s="27"/>
      <c r="C501" s="27"/>
      <c r="D501" s="27"/>
      <c r="E501" s="8"/>
      <c r="F501" s="8"/>
      <c r="G501" s="14"/>
      <c r="H501" s="8"/>
      <c r="I501" s="8"/>
      <c r="J501" s="8"/>
      <c r="K501" s="27"/>
      <c r="L501" s="8"/>
      <c r="M501" s="27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27"/>
      <c r="B502" s="27"/>
      <c r="C502" s="27"/>
      <c r="D502" s="27"/>
      <c r="E502" s="8"/>
      <c r="F502" s="8"/>
      <c r="G502" s="14"/>
      <c r="H502" s="8"/>
      <c r="I502" s="8"/>
      <c r="J502" s="8"/>
      <c r="K502" s="27"/>
      <c r="L502" s="8"/>
      <c r="M502" s="27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27"/>
      <c r="B503" s="27"/>
      <c r="C503" s="27"/>
      <c r="D503" s="27"/>
      <c r="E503" s="8"/>
      <c r="F503" s="8"/>
      <c r="G503" s="14"/>
      <c r="H503" s="8"/>
      <c r="I503" s="8"/>
      <c r="J503" s="8"/>
      <c r="K503" s="27"/>
      <c r="L503" s="8"/>
      <c r="M503" s="27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27"/>
      <c r="B504" s="27"/>
      <c r="C504" s="27"/>
      <c r="D504" s="27"/>
      <c r="E504" s="8"/>
      <c r="F504" s="8"/>
      <c r="G504" s="14"/>
      <c r="H504" s="8"/>
      <c r="I504" s="8"/>
      <c r="J504" s="8"/>
      <c r="K504" s="27"/>
      <c r="L504" s="8"/>
      <c r="M504" s="27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27"/>
      <c r="B505" s="27"/>
      <c r="C505" s="27"/>
      <c r="D505" s="27"/>
      <c r="E505" s="8"/>
      <c r="F505" s="8"/>
      <c r="G505" s="14"/>
      <c r="H505" s="8"/>
      <c r="I505" s="8"/>
      <c r="J505" s="8"/>
      <c r="K505" s="27"/>
      <c r="L505" s="8"/>
      <c r="M505" s="27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27"/>
      <c r="B506" s="27"/>
      <c r="C506" s="27"/>
      <c r="D506" s="27"/>
      <c r="E506" s="8"/>
      <c r="F506" s="8"/>
      <c r="G506" s="14"/>
      <c r="H506" s="8"/>
      <c r="I506" s="8"/>
      <c r="J506" s="8"/>
      <c r="K506" s="27"/>
      <c r="L506" s="8"/>
      <c r="M506" s="27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27"/>
      <c r="B507" s="27"/>
      <c r="C507" s="27"/>
      <c r="D507" s="27"/>
      <c r="E507" s="8"/>
      <c r="F507" s="8"/>
      <c r="G507" s="14"/>
      <c r="H507" s="8"/>
      <c r="I507" s="8"/>
      <c r="J507" s="8"/>
      <c r="K507" s="27"/>
      <c r="L507" s="8"/>
      <c r="M507" s="27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27"/>
      <c r="B508" s="27"/>
      <c r="C508" s="27"/>
      <c r="D508" s="27"/>
      <c r="E508" s="8"/>
      <c r="F508" s="8"/>
      <c r="G508" s="14"/>
      <c r="H508" s="8"/>
      <c r="I508" s="8"/>
      <c r="J508" s="8"/>
      <c r="K508" s="27"/>
      <c r="L508" s="8"/>
      <c r="M508" s="27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27"/>
      <c r="B509" s="27"/>
      <c r="C509" s="27"/>
      <c r="D509" s="27"/>
      <c r="E509" s="8"/>
      <c r="F509" s="8"/>
      <c r="G509" s="14"/>
      <c r="H509" s="8"/>
      <c r="I509" s="8"/>
      <c r="J509" s="8"/>
      <c r="K509" s="27"/>
      <c r="L509" s="8"/>
      <c r="M509" s="27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27"/>
      <c r="B510" s="27"/>
      <c r="C510" s="27"/>
      <c r="D510" s="27"/>
      <c r="E510" s="8"/>
      <c r="F510" s="8"/>
      <c r="G510" s="14"/>
      <c r="H510" s="8"/>
      <c r="I510" s="8"/>
      <c r="J510" s="8"/>
      <c r="K510" s="27"/>
      <c r="L510" s="8"/>
      <c r="M510" s="27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27"/>
      <c r="B511" s="27"/>
      <c r="C511" s="27"/>
      <c r="D511" s="27"/>
      <c r="E511" s="8"/>
      <c r="F511" s="8"/>
      <c r="G511" s="14"/>
      <c r="H511" s="8"/>
      <c r="I511" s="8"/>
      <c r="J511" s="8"/>
      <c r="K511" s="27"/>
      <c r="L511" s="8"/>
      <c r="M511" s="27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27"/>
      <c r="B512" s="27"/>
      <c r="C512" s="27"/>
      <c r="D512" s="27"/>
      <c r="E512" s="8"/>
      <c r="F512" s="8"/>
      <c r="G512" s="14"/>
      <c r="H512" s="8"/>
      <c r="I512" s="8"/>
      <c r="J512" s="8"/>
      <c r="K512" s="27"/>
      <c r="L512" s="8"/>
      <c r="M512" s="27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27"/>
      <c r="B513" s="27"/>
      <c r="C513" s="27"/>
      <c r="D513" s="27"/>
      <c r="E513" s="8"/>
      <c r="F513" s="8"/>
      <c r="G513" s="14"/>
      <c r="H513" s="8"/>
      <c r="I513" s="8"/>
      <c r="J513" s="8"/>
      <c r="K513" s="27"/>
      <c r="L513" s="8"/>
      <c r="M513" s="27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27"/>
      <c r="B514" s="27"/>
      <c r="C514" s="27"/>
      <c r="D514" s="27"/>
      <c r="E514" s="8"/>
      <c r="F514" s="8"/>
      <c r="G514" s="14"/>
      <c r="H514" s="8"/>
      <c r="I514" s="8"/>
      <c r="J514" s="8"/>
      <c r="K514" s="27"/>
      <c r="L514" s="8"/>
      <c r="M514" s="27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27"/>
      <c r="B515" s="27"/>
      <c r="C515" s="27"/>
      <c r="D515" s="27"/>
      <c r="E515" s="8"/>
      <c r="F515" s="8"/>
      <c r="G515" s="14"/>
      <c r="H515" s="8"/>
      <c r="I515" s="8"/>
      <c r="J515" s="8"/>
      <c r="K515" s="27"/>
      <c r="L515" s="8"/>
      <c r="M515" s="27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27"/>
      <c r="B516" s="27"/>
      <c r="C516" s="27"/>
      <c r="D516" s="27"/>
      <c r="E516" s="8"/>
      <c r="F516" s="8"/>
      <c r="G516" s="14"/>
      <c r="H516" s="8"/>
      <c r="I516" s="8"/>
      <c r="J516" s="8"/>
      <c r="K516" s="27"/>
      <c r="L516" s="8"/>
      <c r="M516" s="27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27"/>
      <c r="B517" s="27"/>
      <c r="C517" s="27"/>
      <c r="D517" s="27"/>
      <c r="E517" s="8"/>
      <c r="F517" s="8"/>
      <c r="G517" s="14"/>
      <c r="H517" s="8"/>
      <c r="I517" s="8"/>
      <c r="J517" s="8"/>
      <c r="K517" s="27"/>
      <c r="L517" s="8"/>
      <c r="M517" s="27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27"/>
      <c r="B518" s="27"/>
      <c r="C518" s="27"/>
      <c r="D518" s="27"/>
      <c r="E518" s="8"/>
      <c r="F518" s="8"/>
      <c r="G518" s="14"/>
      <c r="H518" s="8"/>
      <c r="I518" s="8"/>
      <c r="J518" s="8"/>
      <c r="K518" s="27"/>
      <c r="L518" s="8"/>
      <c r="M518" s="27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27"/>
      <c r="B519" s="27"/>
      <c r="C519" s="27"/>
      <c r="D519" s="27"/>
      <c r="E519" s="8"/>
      <c r="F519" s="8"/>
      <c r="G519" s="14"/>
      <c r="H519" s="8"/>
      <c r="I519" s="8"/>
      <c r="J519" s="8"/>
      <c r="K519" s="27"/>
      <c r="L519" s="8"/>
      <c r="M519" s="27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27"/>
      <c r="B520" s="27"/>
      <c r="C520" s="27"/>
      <c r="D520" s="27"/>
      <c r="E520" s="8"/>
      <c r="F520" s="8"/>
      <c r="G520" s="14"/>
      <c r="H520" s="8"/>
      <c r="I520" s="8"/>
      <c r="J520" s="8"/>
      <c r="K520" s="27"/>
      <c r="L520" s="8"/>
      <c r="M520" s="27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27"/>
      <c r="B521" s="27"/>
      <c r="C521" s="27"/>
      <c r="D521" s="27"/>
      <c r="E521" s="8"/>
      <c r="F521" s="8"/>
      <c r="G521" s="14"/>
      <c r="H521" s="8"/>
      <c r="I521" s="8"/>
      <c r="J521" s="8"/>
      <c r="K521" s="27"/>
      <c r="L521" s="8"/>
      <c r="M521" s="27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27"/>
      <c r="B522" s="27"/>
      <c r="C522" s="27"/>
      <c r="D522" s="27"/>
      <c r="E522" s="8"/>
      <c r="F522" s="8"/>
      <c r="G522" s="14"/>
      <c r="H522" s="8"/>
      <c r="I522" s="8"/>
      <c r="J522" s="8"/>
      <c r="K522" s="27"/>
      <c r="L522" s="8"/>
      <c r="M522" s="27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27"/>
      <c r="B523" s="27"/>
      <c r="C523" s="27"/>
      <c r="D523" s="27"/>
      <c r="E523" s="8"/>
      <c r="F523" s="8"/>
      <c r="G523" s="14"/>
      <c r="H523" s="8"/>
      <c r="I523" s="8"/>
      <c r="J523" s="8"/>
      <c r="K523" s="27"/>
      <c r="L523" s="8"/>
      <c r="M523" s="27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27"/>
      <c r="B524" s="27"/>
      <c r="C524" s="27"/>
      <c r="D524" s="27"/>
      <c r="E524" s="8"/>
      <c r="F524" s="8"/>
      <c r="G524" s="14"/>
      <c r="H524" s="8"/>
      <c r="I524" s="8"/>
      <c r="J524" s="8"/>
      <c r="K524" s="27"/>
      <c r="L524" s="8"/>
      <c r="M524" s="27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27"/>
      <c r="B525" s="27"/>
      <c r="C525" s="27"/>
      <c r="D525" s="27"/>
      <c r="E525" s="8"/>
      <c r="F525" s="8"/>
      <c r="G525" s="14"/>
      <c r="H525" s="8"/>
      <c r="I525" s="8"/>
      <c r="J525" s="8"/>
      <c r="K525" s="27"/>
      <c r="L525" s="8"/>
      <c r="M525" s="27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27"/>
      <c r="B526" s="27"/>
      <c r="C526" s="27"/>
      <c r="D526" s="27"/>
      <c r="E526" s="8"/>
      <c r="F526" s="8"/>
      <c r="G526" s="14"/>
      <c r="H526" s="8"/>
      <c r="I526" s="8"/>
      <c r="J526" s="8"/>
      <c r="K526" s="27"/>
      <c r="L526" s="8"/>
      <c r="M526" s="27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27"/>
      <c r="B527" s="27"/>
      <c r="C527" s="27"/>
      <c r="D527" s="27"/>
      <c r="E527" s="8"/>
      <c r="F527" s="8"/>
      <c r="G527" s="14"/>
      <c r="H527" s="8"/>
      <c r="I527" s="8"/>
      <c r="J527" s="8"/>
      <c r="K527" s="27"/>
      <c r="L527" s="8"/>
      <c r="M527" s="27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27"/>
      <c r="B528" s="27"/>
      <c r="C528" s="27"/>
      <c r="D528" s="27"/>
      <c r="E528" s="8"/>
      <c r="F528" s="8"/>
      <c r="G528" s="14"/>
      <c r="H528" s="8"/>
      <c r="I528" s="8"/>
      <c r="J528" s="8"/>
      <c r="K528" s="27"/>
      <c r="L528" s="8"/>
      <c r="M528" s="27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27"/>
      <c r="B529" s="27"/>
      <c r="C529" s="27"/>
      <c r="D529" s="27"/>
      <c r="E529" s="8"/>
      <c r="F529" s="8"/>
      <c r="G529" s="14"/>
      <c r="H529" s="8"/>
      <c r="I529" s="8"/>
      <c r="J529" s="8"/>
      <c r="K529" s="27"/>
      <c r="L529" s="8"/>
      <c r="M529" s="27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27"/>
      <c r="B530" s="27"/>
      <c r="C530" s="27"/>
      <c r="D530" s="27"/>
      <c r="E530" s="8"/>
      <c r="F530" s="8"/>
      <c r="G530" s="14"/>
      <c r="H530" s="8"/>
      <c r="I530" s="8"/>
      <c r="J530" s="8"/>
      <c r="K530" s="27"/>
      <c r="L530" s="8"/>
      <c r="M530" s="27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27"/>
      <c r="B531" s="27"/>
      <c r="C531" s="27"/>
      <c r="D531" s="27"/>
      <c r="E531" s="8"/>
      <c r="F531" s="8"/>
      <c r="G531" s="14"/>
      <c r="H531" s="8"/>
      <c r="I531" s="8"/>
      <c r="J531" s="8"/>
      <c r="K531" s="27"/>
      <c r="L531" s="8"/>
      <c r="M531" s="27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27"/>
      <c r="B532" s="27"/>
      <c r="C532" s="27"/>
      <c r="D532" s="27"/>
      <c r="E532" s="8"/>
      <c r="F532" s="8"/>
      <c r="G532" s="14"/>
      <c r="H532" s="8"/>
      <c r="I532" s="8"/>
      <c r="J532" s="8"/>
      <c r="K532" s="27"/>
      <c r="L532" s="8"/>
      <c r="M532" s="27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27"/>
      <c r="B533" s="27"/>
      <c r="C533" s="27"/>
      <c r="D533" s="27"/>
      <c r="E533" s="8"/>
      <c r="F533" s="8"/>
      <c r="G533" s="14"/>
      <c r="H533" s="8"/>
      <c r="I533" s="8"/>
      <c r="J533" s="8"/>
      <c r="K533" s="27"/>
      <c r="L533" s="8"/>
      <c r="M533" s="27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27"/>
      <c r="B534" s="27"/>
      <c r="C534" s="27"/>
      <c r="D534" s="27"/>
      <c r="E534" s="8"/>
      <c r="F534" s="8"/>
      <c r="G534" s="14"/>
      <c r="H534" s="8"/>
      <c r="I534" s="8"/>
      <c r="J534" s="8"/>
      <c r="K534" s="27"/>
      <c r="L534" s="8"/>
      <c r="M534" s="27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27"/>
      <c r="B535" s="27"/>
      <c r="C535" s="27"/>
      <c r="D535" s="27"/>
      <c r="E535" s="8"/>
      <c r="F535" s="8"/>
      <c r="G535" s="14"/>
      <c r="H535" s="8"/>
      <c r="I535" s="8"/>
      <c r="J535" s="8"/>
      <c r="K535" s="27"/>
      <c r="L535" s="8"/>
      <c r="M535" s="27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27"/>
      <c r="B536" s="27"/>
      <c r="C536" s="27"/>
      <c r="D536" s="27"/>
      <c r="E536" s="8"/>
      <c r="F536" s="8"/>
      <c r="G536" s="14"/>
      <c r="H536" s="8"/>
      <c r="I536" s="8"/>
      <c r="J536" s="8"/>
      <c r="K536" s="27"/>
      <c r="L536" s="8"/>
      <c r="M536" s="27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27"/>
      <c r="B537" s="27"/>
      <c r="C537" s="27"/>
      <c r="D537" s="27"/>
      <c r="E537" s="8"/>
      <c r="F537" s="8"/>
      <c r="G537" s="14"/>
      <c r="H537" s="8"/>
      <c r="I537" s="8"/>
      <c r="J537" s="8"/>
      <c r="K537" s="27"/>
      <c r="L537" s="8"/>
      <c r="M537" s="27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27"/>
      <c r="B538" s="27"/>
      <c r="C538" s="27"/>
      <c r="D538" s="27"/>
      <c r="E538" s="8"/>
      <c r="F538" s="8"/>
      <c r="G538" s="14"/>
      <c r="H538" s="8"/>
      <c r="I538" s="8"/>
      <c r="J538" s="8"/>
      <c r="K538" s="27"/>
      <c r="L538" s="8"/>
      <c r="M538" s="27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27"/>
      <c r="B539" s="27"/>
      <c r="C539" s="27"/>
      <c r="D539" s="27"/>
      <c r="E539" s="8"/>
      <c r="F539" s="8"/>
      <c r="G539" s="14"/>
      <c r="H539" s="8"/>
      <c r="I539" s="8"/>
      <c r="J539" s="8"/>
      <c r="K539" s="27"/>
      <c r="L539" s="8"/>
      <c r="M539" s="27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27"/>
      <c r="B540" s="27"/>
      <c r="C540" s="27"/>
      <c r="D540" s="27"/>
      <c r="E540" s="8"/>
      <c r="F540" s="8"/>
      <c r="G540" s="14"/>
      <c r="H540" s="8"/>
      <c r="I540" s="8"/>
      <c r="J540" s="8"/>
      <c r="K540" s="27"/>
      <c r="L540" s="8"/>
      <c r="M540" s="27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27"/>
      <c r="B541" s="27"/>
      <c r="C541" s="27"/>
      <c r="D541" s="27"/>
      <c r="E541" s="8"/>
      <c r="F541" s="8"/>
      <c r="G541" s="14"/>
      <c r="H541" s="8"/>
      <c r="I541" s="8"/>
      <c r="J541" s="8"/>
      <c r="K541" s="27"/>
      <c r="L541" s="8"/>
      <c r="M541" s="27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27"/>
      <c r="B542" s="27"/>
      <c r="C542" s="27"/>
      <c r="D542" s="27"/>
      <c r="E542" s="8"/>
      <c r="F542" s="8"/>
      <c r="G542" s="14"/>
      <c r="H542" s="8"/>
      <c r="I542" s="8"/>
      <c r="J542" s="8"/>
      <c r="K542" s="27"/>
      <c r="L542" s="8"/>
      <c r="M542" s="27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27"/>
      <c r="B543" s="27"/>
      <c r="C543" s="27"/>
      <c r="D543" s="27"/>
      <c r="E543" s="8"/>
      <c r="F543" s="8"/>
      <c r="G543" s="14"/>
      <c r="H543" s="8"/>
      <c r="I543" s="8"/>
      <c r="J543" s="8"/>
      <c r="K543" s="27"/>
      <c r="L543" s="8"/>
      <c r="M543" s="27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27"/>
      <c r="B544" s="27"/>
      <c r="C544" s="27"/>
      <c r="D544" s="27"/>
      <c r="E544" s="8"/>
      <c r="F544" s="8"/>
      <c r="G544" s="14"/>
      <c r="H544" s="8"/>
      <c r="I544" s="8"/>
      <c r="J544" s="8"/>
      <c r="K544" s="27"/>
      <c r="L544" s="8"/>
      <c r="M544" s="27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27"/>
      <c r="B545" s="27"/>
      <c r="C545" s="27"/>
      <c r="D545" s="27"/>
      <c r="E545" s="8"/>
      <c r="F545" s="8"/>
      <c r="G545" s="14"/>
      <c r="H545" s="8"/>
      <c r="I545" s="8"/>
      <c r="J545" s="8"/>
      <c r="K545" s="27"/>
      <c r="L545" s="8"/>
      <c r="M545" s="27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27"/>
      <c r="B546" s="27"/>
      <c r="C546" s="27"/>
      <c r="D546" s="27"/>
      <c r="E546" s="8"/>
      <c r="F546" s="8"/>
      <c r="G546" s="14"/>
      <c r="H546" s="8"/>
      <c r="I546" s="8"/>
      <c r="J546" s="8"/>
      <c r="K546" s="27"/>
      <c r="L546" s="8"/>
      <c r="M546" s="27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27"/>
      <c r="B547" s="27"/>
      <c r="C547" s="27"/>
      <c r="D547" s="27"/>
      <c r="E547" s="8"/>
      <c r="F547" s="8"/>
      <c r="G547" s="14"/>
      <c r="H547" s="8"/>
      <c r="I547" s="8"/>
      <c r="J547" s="8"/>
      <c r="K547" s="27"/>
      <c r="L547" s="8"/>
      <c r="M547" s="27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27"/>
      <c r="B548" s="27"/>
      <c r="C548" s="27"/>
      <c r="D548" s="27"/>
      <c r="E548" s="8"/>
      <c r="F548" s="8"/>
      <c r="G548" s="14"/>
      <c r="H548" s="8"/>
      <c r="I548" s="8"/>
      <c r="J548" s="8"/>
      <c r="K548" s="27"/>
      <c r="L548" s="8"/>
      <c r="M548" s="27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27"/>
      <c r="B549" s="27"/>
      <c r="C549" s="27"/>
      <c r="D549" s="27"/>
      <c r="E549" s="8"/>
      <c r="F549" s="8"/>
      <c r="G549" s="14"/>
      <c r="H549" s="8"/>
      <c r="I549" s="8"/>
      <c r="J549" s="8"/>
      <c r="K549" s="27"/>
      <c r="L549" s="8"/>
      <c r="M549" s="27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27"/>
      <c r="B550" s="27"/>
      <c r="C550" s="27"/>
      <c r="D550" s="27"/>
      <c r="E550" s="8"/>
      <c r="F550" s="8"/>
      <c r="G550" s="14"/>
      <c r="H550" s="8"/>
      <c r="I550" s="8"/>
      <c r="J550" s="8"/>
      <c r="K550" s="27"/>
      <c r="L550" s="8"/>
      <c r="M550" s="27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27"/>
      <c r="B551" s="27"/>
      <c r="C551" s="27"/>
      <c r="D551" s="27"/>
      <c r="E551" s="8"/>
      <c r="F551" s="8"/>
      <c r="G551" s="14"/>
      <c r="H551" s="8"/>
      <c r="I551" s="8"/>
      <c r="J551" s="8"/>
      <c r="K551" s="27"/>
      <c r="L551" s="8"/>
      <c r="M551" s="27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27"/>
      <c r="B552" s="27"/>
      <c r="C552" s="27"/>
      <c r="D552" s="27"/>
      <c r="E552" s="8"/>
      <c r="F552" s="8"/>
      <c r="G552" s="14"/>
      <c r="H552" s="8"/>
      <c r="I552" s="8"/>
      <c r="J552" s="8"/>
      <c r="K552" s="27"/>
      <c r="L552" s="8"/>
      <c r="M552" s="27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27"/>
      <c r="B553" s="27"/>
      <c r="C553" s="27"/>
      <c r="D553" s="27"/>
      <c r="E553" s="8"/>
      <c r="F553" s="8"/>
      <c r="G553" s="14"/>
      <c r="H553" s="8"/>
      <c r="I553" s="8"/>
      <c r="J553" s="8"/>
      <c r="K553" s="27"/>
      <c r="L553" s="8"/>
      <c r="M553" s="27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27"/>
      <c r="B554" s="27"/>
      <c r="C554" s="27"/>
      <c r="D554" s="27"/>
      <c r="E554" s="8"/>
      <c r="F554" s="8"/>
      <c r="G554" s="14"/>
      <c r="H554" s="8"/>
      <c r="I554" s="8"/>
      <c r="J554" s="8"/>
      <c r="K554" s="27"/>
      <c r="L554" s="8"/>
      <c r="M554" s="27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27"/>
      <c r="B555" s="27"/>
      <c r="C555" s="27"/>
      <c r="D555" s="27"/>
      <c r="E555" s="8"/>
      <c r="F555" s="8"/>
      <c r="G555" s="14"/>
      <c r="H555" s="8"/>
      <c r="I555" s="8"/>
      <c r="J555" s="8"/>
      <c r="K555" s="27"/>
      <c r="L555" s="8"/>
      <c r="M555" s="27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27"/>
      <c r="B556" s="27"/>
      <c r="C556" s="27"/>
      <c r="D556" s="27"/>
      <c r="E556" s="8"/>
      <c r="F556" s="8"/>
      <c r="G556" s="14"/>
      <c r="H556" s="8"/>
      <c r="I556" s="8"/>
      <c r="J556" s="8"/>
      <c r="K556" s="27"/>
      <c r="L556" s="8"/>
      <c r="M556" s="27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27"/>
      <c r="B557" s="27"/>
      <c r="C557" s="27"/>
      <c r="D557" s="27"/>
      <c r="E557" s="8"/>
      <c r="F557" s="8"/>
      <c r="G557" s="14"/>
      <c r="H557" s="8"/>
      <c r="I557" s="8"/>
      <c r="J557" s="8"/>
      <c r="K557" s="27"/>
      <c r="L557" s="8"/>
      <c r="M557" s="27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27"/>
      <c r="B558" s="27"/>
      <c r="C558" s="27"/>
      <c r="D558" s="27"/>
      <c r="E558" s="8"/>
      <c r="F558" s="8"/>
      <c r="G558" s="14"/>
      <c r="H558" s="8"/>
      <c r="I558" s="8"/>
      <c r="J558" s="8"/>
      <c r="K558" s="27"/>
      <c r="L558" s="8"/>
      <c r="M558" s="27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27"/>
      <c r="B559" s="27"/>
      <c r="C559" s="27"/>
      <c r="D559" s="27"/>
      <c r="E559" s="8"/>
      <c r="F559" s="8"/>
      <c r="G559" s="14"/>
      <c r="H559" s="8"/>
      <c r="I559" s="8"/>
      <c r="J559" s="8"/>
      <c r="K559" s="27"/>
      <c r="L559" s="8"/>
      <c r="M559" s="27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27"/>
      <c r="B560" s="27"/>
      <c r="C560" s="27"/>
      <c r="D560" s="27"/>
      <c r="E560" s="8"/>
      <c r="F560" s="8"/>
      <c r="G560" s="14"/>
      <c r="H560" s="8"/>
      <c r="I560" s="8"/>
      <c r="J560" s="8"/>
      <c r="K560" s="27"/>
      <c r="L560" s="8"/>
      <c r="M560" s="27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27"/>
      <c r="B561" s="27"/>
      <c r="C561" s="27"/>
      <c r="D561" s="27"/>
      <c r="E561" s="8"/>
      <c r="F561" s="8"/>
      <c r="G561" s="14"/>
      <c r="H561" s="8"/>
      <c r="I561" s="8"/>
      <c r="J561" s="8"/>
      <c r="K561" s="27"/>
      <c r="L561" s="8"/>
      <c r="M561" s="27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27"/>
      <c r="B562" s="27"/>
      <c r="C562" s="27"/>
      <c r="D562" s="27"/>
      <c r="E562" s="8"/>
      <c r="F562" s="8"/>
      <c r="G562" s="14"/>
      <c r="H562" s="8"/>
      <c r="I562" s="8"/>
      <c r="J562" s="8"/>
      <c r="K562" s="27"/>
      <c r="L562" s="8"/>
      <c r="M562" s="27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27"/>
      <c r="B563" s="27"/>
      <c r="C563" s="27"/>
      <c r="D563" s="27"/>
      <c r="E563" s="8"/>
      <c r="F563" s="8"/>
      <c r="G563" s="14"/>
      <c r="H563" s="8"/>
      <c r="I563" s="8"/>
      <c r="J563" s="8"/>
      <c r="K563" s="27"/>
      <c r="L563" s="8"/>
      <c r="M563" s="27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27"/>
      <c r="B564" s="27"/>
      <c r="C564" s="27"/>
      <c r="D564" s="27"/>
      <c r="E564" s="8"/>
      <c r="F564" s="8"/>
      <c r="G564" s="14"/>
      <c r="H564" s="8"/>
      <c r="I564" s="8"/>
      <c r="J564" s="8"/>
      <c r="K564" s="27"/>
      <c r="L564" s="8"/>
      <c r="M564" s="27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27"/>
      <c r="B565" s="27"/>
      <c r="C565" s="27"/>
      <c r="D565" s="27"/>
      <c r="E565" s="8"/>
      <c r="F565" s="8"/>
      <c r="G565" s="14"/>
      <c r="H565" s="8"/>
      <c r="I565" s="8"/>
      <c r="J565" s="8"/>
      <c r="K565" s="27"/>
      <c r="L565" s="8"/>
      <c r="M565" s="27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27"/>
      <c r="B566" s="27"/>
      <c r="C566" s="27"/>
      <c r="D566" s="27"/>
      <c r="E566" s="8"/>
      <c r="F566" s="8"/>
      <c r="G566" s="14"/>
      <c r="H566" s="8"/>
      <c r="I566" s="8"/>
      <c r="J566" s="8"/>
      <c r="K566" s="27"/>
      <c r="L566" s="8"/>
      <c r="M566" s="27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27"/>
      <c r="B567" s="27"/>
      <c r="C567" s="27"/>
      <c r="D567" s="27"/>
      <c r="E567" s="8"/>
      <c r="F567" s="8"/>
      <c r="G567" s="14"/>
      <c r="H567" s="8"/>
      <c r="I567" s="8"/>
      <c r="J567" s="8"/>
      <c r="K567" s="27"/>
      <c r="L567" s="8"/>
      <c r="M567" s="27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27"/>
      <c r="B568" s="27"/>
      <c r="C568" s="27"/>
      <c r="D568" s="27"/>
      <c r="E568" s="8"/>
      <c r="F568" s="8"/>
      <c r="G568" s="14"/>
      <c r="H568" s="8"/>
      <c r="I568" s="8"/>
      <c r="J568" s="8"/>
      <c r="K568" s="27"/>
      <c r="L568" s="8"/>
      <c r="M568" s="27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27"/>
      <c r="B569" s="27"/>
      <c r="C569" s="27"/>
      <c r="D569" s="27"/>
      <c r="E569" s="8"/>
      <c r="F569" s="8"/>
      <c r="G569" s="14"/>
      <c r="H569" s="8"/>
      <c r="I569" s="8"/>
      <c r="J569" s="8"/>
      <c r="K569" s="27"/>
      <c r="L569" s="8"/>
      <c r="M569" s="27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27"/>
      <c r="B570" s="27"/>
      <c r="C570" s="27"/>
      <c r="D570" s="27"/>
      <c r="E570" s="8"/>
      <c r="F570" s="8"/>
      <c r="G570" s="14"/>
      <c r="H570" s="8"/>
      <c r="I570" s="8"/>
      <c r="J570" s="8"/>
      <c r="K570" s="27"/>
      <c r="L570" s="8"/>
      <c r="M570" s="27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27"/>
      <c r="B571" s="27"/>
      <c r="C571" s="27"/>
      <c r="D571" s="27"/>
      <c r="E571" s="8"/>
      <c r="F571" s="8"/>
      <c r="G571" s="14"/>
      <c r="H571" s="8"/>
      <c r="I571" s="8"/>
      <c r="J571" s="8"/>
      <c r="K571" s="27"/>
      <c r="L571" s="8"/>
      <c r="M571" s="27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27"/>
      <c r="B572" s="27"/>
      <c r="C572" s="27"/>
      <c r="D572" s="27"/>
      <c r="E572" s="8"/>
      <c r="F572" s="8"/>
      <c r="G572" s="14"/>
      <c r="H572" s="8"/>
      <c r="I572" s="8"/>
      <c r="J572" s="8"/>
      <c r="K572" s="27"/>
      <c r="L572" s="8"/>
      <c r="M572" s="27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27"/>
      <c r="B573" s="27"/>
      <c r="C573" s="27"/>
      <c r="D573" s="27"/>
      <c r="E573" s="8"/>
      <c r="F573" s="8"/>
      <c r="G573" s="14"/>
      <c r="H573" s="8"/>
      <c r="I573" s="8"/>
      <c r="J573" s="8"/>
      <c r="K573" s="27"/>
      <c r="L573" s="8"/>
      <c r="M573" s="27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27"/>
      <c r="B574" s="27"/>
      <c r="C574" s="27"/>
      <c r="D574" s="27"/>
      <c r="E574" s="8"/>
      <c r="F574" s="8"/>
      <c r="G574" s="14"/>
      <c r="H574" s="8"/>
      <c r="I574" s="8"/>
      <c r="J574" s="8"/>
      <c r="K574" s="27"/>
      <c r="L574" s="8"/>
      <c r="M574" s="27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27"/>
      <c r="B575" s="27"/>
      <c r="C575" s="27"/>
      <c r="D575" s="27"/>
      <c r="E575" s="8"/>
      <c r="F575" s="8"/>
      <c r="G575" s="14"/>
      <c r="H575" s="8"/>
      <c r="I575" s="8"/>
      <c r="J575" s="8"/>
      <c r="K575" s="27"/>
      <c r="L575" s="8"/>
      <c r="M575" s="27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27"/>
      <c r="B576" s="27"/>
      <c r="C576" s="27"/>
      <c r="D576" s="27"/>
      <c r="E576" s="8"/>
      <c r="F576" s="8"/>
      <c r="G576" s="14"/>
      <c r="H576" s="8"/>
      <c r="I576" s="8"/>
      <c r="J576" s="8"/>
      <c r="K576" s="27"/>
      <c r="L576" s="8"/>
      <c r="M576" s="27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27"/>
      <c r="B577" s="27"/>
      <c r="C577" s="27"/>
      <c r="D577" s="27"/>
      <c r="E577" s="8"/>
      <c r="F577" s="8"/>
      <c r="G577" s="14"/>
      <c r="H577" s="8"/>
      <c r="I577" s="8"/>
      <c r="J577" s="8"/>
      <c r="K577" s="27"/>
      <c r="L577" s="8"/>
      <c r="M577" s="27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27"/>
      <c r="B578" s="27"/>
      <c r="C578" s="27"/>
      <c r="D578" s="27"/>
      <c r="E578" s="8"/>
      <c r="F578" s="8"/>
      <c r="G578" s="14"/>
      <c r="H578" s="8"/>
      <c r="I578" s="8"/>
      <c r="J578" s="8"/>
      <c r="K578" s="27"/>
      <c r="L578" s="8"/>
      <c r="M578" s="27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27"/>
      <c r="B579" s="27"/>
      <c r="C579" s="27"/>
      <c r="D579" s="27"/>
      <c r="E579" s="8"/>
      <c r="F579" s="8"/>
      <c r="G579" s="14"/>
      <c r="H579" s="8"/>
      <c r="I579" s="8"/>
      <c r="J579" s="8"/>
      <c r="K579" s="27"/>
      <c r="L579" s="8"/>
      <c r="M579" s="27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27"/>
      <c r="B580" s="27"/>
      <c r="C580" s="27"/>
      <c r="D580" s="27"/>
      <c r="E580" s="8"/>
      <c r="F580" s="8"/>
      <c r="G580" s="14"/>
      <c r="H580" s="8"/>
      <c r="I580" s="8"/>
      <c r="J580" s="8"/>
      <c r="K580" s="27"/>
      <c r="L580" s="8"/>
      <c r="M580" s="27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27"/>
      <c r="B581" s="27"/>
      <c r="C581" s="27"/>
      <c r="D581" s="27"/>
      <c r="E581" s="8"/>
      <c r="F581" s="8"/>
      <c r="G581" s="14"/>
      <c r="H581" s="8"/>
      <c r="I581" s="8"/>
      <c r="J581" s="8"/>
      <c r="K581" s="27"/>
      <c r="L581" s="8"/>
      <c r="M581" s="27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27"/>
      <c r="B582" s="27"/>
      <c r="C582" s="27"/>
      <c r="D582" s="27"/>
      <c r="E582" s="8"/>
      <c r="F582" s="8"/>
      <c r="G582" s="14"/>
      <c r="H582" s="8"/>
      <c r="I582" s="8"/>
      <c r="J582" s="8"/>
      <c r="K582" s="27"/>
      <c r="L582" s="8"/>
      <c r="M582" s="27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27"/>
      <c r="B583" s="27"/>
      <c r="C583" s="27"/>
      <c r="D583" s="27"/>
      <c r="E583" s="8"/>
      <c r="F583" s="8"/>
      <c r="G583" s="14"/>
      <c r="H583" s="8"/>
      <c r="I583" s="8"/>
      <c r="J583" s="8"/>
      <c r="K583" s="27"/>
      <c r="L583" s="8"/>
      <c r="M583" s="27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27"/>
      <c r="B584" s="27"/>
      <c r="C584" s="27"/>
      <c r="D584" s="27"/>
      <c r="E584" s="8"/>
      <c r="F584" s="8"/>
      <c r="G584" s="14"/>
      <c r="H584" s="8"/>
      <c r="I584" s="8"/>
      <c r="J584" s="8"/>
      <c r="K584" s="27"/>
      <c r="L584" s="8"/>
      <c r="M584" s="27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27"/>
      <c r="B585" s="27"/>
      <c r="C585" s="27"/>
      <c r="D585" s="27"/>
      <c r="E585" s="8"/>
      <c r="F585" s="8"/>
      <c r="G585" s="14"/>
      <c r="H585" s="8"/>
      <c r="I585" s="8"/>
      <c r="J585" s="8"/>
      <c r="K585" s="27"/>
      <c r="L585" s="8"/>
      <c r="M585" s="27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27"/>
      <c r="B586" s="27"/>
      <c r="C586" s="27"/>
      <c r="D586" s="27"/>
      <c r="E586" s="8"/>
      <c r="F586" s="8"/>
      <c r="G586" s="14"/>
      <c r="H586" s="8"/>
      <c r="I586" s="8"/>
      <c r="J586" s="8"/>
      <c r="K586" s="27"/>
      <c r="L586" s="8"/>
      <c r="M586" s="27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27"/>
      <c r="B587" s="27"/>
      <c r="C587" s="27"/>
      <c r="D587" s="27"/>
      <c r="E587" s="8"/>
      <c r="F587" s="8"/>
      <c r="G587" s="14"/>
      <c r="H587" s="8"/>
      <c r="I587" s="8"/>
      <c r="J587" s="8"/>
      <c r="K587" s="27"/>
      <c r="L587" s="8"/>
      <c r="M587" s="27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27"/>
      <c r="B588" s="27"/>
      <c r="C588" s="27"/>
      <c r="D588" s="27"/>
      <c r="E588" s="8"/>
      <c r="F588" s="8"/>
      <c r="G588" s="14"/>
      <c r="H588" s="8"/>
      <c r="I588" s="8"/>
      <c r="J588" s="8"/>
      <c r="K588" s="27"/>
      <c r="L588" s="8"/>
      <c r="M588" s="27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27"/>
      <c r="B589" s="27"/>
      <c r="C589" s="27"/>
      <c r="D589" s="27"/>
      <c r="E589" s="8"/>
      <c r="F589" s="8"/>
      <c r="G589" s="14"/>
      <c r="H589" s="8"/>
      <c r="I589" s="8"/>
      <c r="J589" s="8"/>
      <c r="K589" s="27"/>
      <c r="L589" s="8"/>
      <c r="M589" s="27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27"/>
      <c r="B590" s="27"/>
      <c r="C590" s="27"/>
      <c r="D590" s="27"/>
      <c r="E590" s="8"/>
      <c r="F590" s="8"/>
      <c r="G590" s="14"/>
      <c r="H590" s="8"/>
      <c r="I590" s="8"/>
      <c r="J590" s="8"/>
      <c r="K590" s="27"/>
      <c r="L590" s="8"/>
      <c r="M590" s="27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27"/>
      <c r="B591" s="27"/>
      <c r="C591" s="27"/>
      <c r="D591" s="27"/>
      <c r="E591" s="8"/>
      <c r="F591" s="8"/>
      <c r="G591" s="14"/>
      <c r="H591" s="8"/>
      <c r="I591" s="8"/>
      <c r="J591" s="8"/>
      <c r="K591" s="27"/>
      <c r="L591" s="8"/>
      <c r="M591" s="27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27"/>
      <c r="B592" s="27"/>
      <c r="C592" s="27"/>
      <c r="D592" s="27"/>
      <c r="E592" s="8"/>
      <c r="F592" s="8"/>
      <c r="G592" s="14"/>
      <c r="H592" s="8"/>
      <c r="I592" s="8"/>
      <c r="J592" s="8"/>
      <c r="K592" s="27"/>
      <c r="L592" s="8"/>
      <c r="M592" s="27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27"/>
      <c r="B593" s="27"/>
      <c r="C593" s="27"/>
      <c r="D593" s="27"/>
      <c r="E593" s="8"/>
      <c r="F593" s="8"/>
      <c r="G593" s="14"/>
      <c r="H593" s="8"/>
      <c r="I593" s="8"/>
      <c r="J593" s="8"/>
      <c r="K593" s="27"/>
      <c r="L593" s="8"/>
      <c r="M593" s="27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27"/>
      <c r="B594" s="27"/>
      <c r="C594" s="27"/>
      <c r="D594" s="27"/>
      <c r="E594" s="8"/>
      <c r="F594" s="8"/>
      <c r="G594" s="14"/>
      <c r="H594" s="8"/>
      <c r="I594" s="8"/>
      <c r="J594" s="8"/>
      <c r="K594" s="27"/>
      <c r="L594" s="8"/>
      <c r="M594" s="27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27"/>
      <c r="B595" s="27"/>
      <c r="C595" s="27"/>
      <c r="D595" s="27"/>
      <c r="E595" s="8"/>
      <c r="F595" s="8"/>
      <c r="G595" s="14"/>
      <c r="H595" s="8"/>
      <c r="I595" s="8"/>
      <c r="J595" s="8"/>
      <c r="K595" s="27"/>
      <c r="L595" s="8"/>
      <c r="M595" s="27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27"/>
      <c r="B596" s="27"/>
      <c r="C596" s="27"/>
      <c r="D596" s="27"/>
      <c r="E596" s="8"/>
      <c r="F596" s="8"/>
      <c r="G596" s="14"/>
      <c r="H596" s="8"/>
      <c r="I596" s="8"/>
      <c r="J596" s="8"/>
      <c r="K596" s="27"/>
      <c r="L596" s="8"/>
      <c r="M596" s="27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27"/>
      <c r="B597" s="27"/>
      <c r="C597" s="27"/>
      <c r="D597" s="27"/>
      <c r="E597" s="8"/>
      <c r="F597" s="8"/>
      <c r="G597" s="14"/>
      <c r="H597" s="8"/>
      <c r="I597" s="8"/>
      <c r="J597" s="8"/>
      <c r="K597" s="27"/>
      <c r="L597" s="8"/>
      <c r="M597" s="27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27"/>
      <c r="B598" s="27"/>
      <c r="C598" s="27"/>
      <c r="D598" s="27"/>
      <c r="E598" s="8"/>
      <c r="F598" s="8"/>
      <c r="G598" s="14"/>
      <c r="H598" s="8"/>
      <c r="I598" s="8"/>
      <c r="J598" s="8"/>
      <c r="K598" s="27"/>
      <c r="L598" s="8"/>
      <c r="M598" s="27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27"/>
      <c r="B599" s="27"/>
      <c r="C599" s="27"/>
      <c r="D599" s="27"/>
      <c r="E599" s="8"/>
      <c r="F599" s="8"/>
      <c r="G599" s="14"/>
      <c r="H599" s="8"/>
      <c r="I599" s="8"/>
      <c r="J599" s="8"/>
      <c r="K599" s="27"/>
      <c r="L599" s="8"/>
      <c r="M599" s="27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27"/>
      <c r="B600" s="27"/>
      <c r="C600" s="27"/>
      <c r="D600" s="27"/>
      <c r="E600" s="8"/>
      <c r="F600" s="8"/>
      <c r="G600" s="14"/>
      <c r="H600" s="8"/>
      <c r="I600" s="8"/>
      <c r="J600" s="8"/>
      <c r="K600" s="27"/>
      <c r="L600" s="8"/>
      <c r="M600" s="27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27"/>
      <c r="B601" s="27"/>
      <c r="C601" s="27"/>
      <c r="D601" s="27"/>
      <c r="E601" s="8"/>
      <c r="F601" s="8"/>
      <c r="G601" s="14"/>
      <c r="H601" s="8"/>
      <c r="I601" s="8"/>
      <c r="J601" s="8"/>
      <c r="K601" s="27"/>
      <c r="L601" s="8"/>
      <c r="M601" s="27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27"/>
      <c r="B602" s="27"/>
      <c r="C602" s="27"/>
      <c r="D602" s="27"/>
      <c r="E602" s="8"/>
      <c r="F602" s="8"/>
      <c r="G602" s="14"/>
      <c r="H602" s="8"/>
      <c r="I602" s="8"/>
      <c r="J602" s="8"/>
      <c r="K602" s="27"/>
      <c r="L602" s="8"/>
      <c r="M602" s="27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27"/>
      <c r="B603" s="27"/>
      <c r="C603" s="27"/>
      <c r="D603" s="27"/>
      <c r="E603" s="8"/>
      <c r="F603" s="8"/>
      <c r="G603" s="14"/>
      <c r="H603" s="8"/>
      <c r="I603" s="8"/>
      <c r="J603" s="8"/>
      <c r="K603" s="27"/>
      <c r="L603" s="8"/>
      <c r="M603" s="27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27"/>
      <c r="B604" s="27"/>
      <c r="C604" s="27"/>
      <c r="D604" s="27"/>
      <c r="E604" s="8"/>
      <c r="F604" s="8"/>
      <c r="G604" s="14"/>
      <c r="H604" s="8"/>
      <c r="I604" s="8"/>
      <c r="J604" s="8"/>
      <c r="K604" s="27"/>
      <c r="L604" s="8"/>
      <c r="M604" s="27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27"/>
      <c r="B605" s="27"/>
      <c r="C605" s="27"/>
      <c r="D605" s="27"/>
      <c r="E605" s="8"/>
      <c r="F605" s="8"/>
      <c r="G605" s="14"/>
      <c r="H605" s="8"/>
      <c r="I605" s="8"/>
      <c r="J605" s="8"/>
      <c r="K605" s="27"/>
      <c r="L605" s="8"/>
      <c r="M605" s="27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27"/>
      <c r="B606" s="27"/>
      <c r="C606" s="27"/>
      <c r="D606" s="27"/>
      <c r="E606" s="8"/>
      <c r="F606" s="8"/>
      <c r="G606" s="14"/>
      <c r="H606" s="8"/>
      <c r="I606" s="8"/>
      <c r="J606" s="8"/>
      <c r="K606" s="27"/>
      <c r="L606" s="8"/>
      <c r="M606" s="27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27"/>
      <c r="B607" s="27"/>
      <c r="C607" s="27"/>
      <c r="D607" s="27"/>
      <c r="E607" s="8"/>
      <c r="F607" s="8"/>
      <c r="G607" s="14"/>
      <c r="H607" s="8"/>
      <c r="I607" s="8"/>
      <c r="J607" s="8"/>
      <c r="K607" s="27"/>
      <c r="L607" s="8"/>
      <c r="M607" s="27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27"/>
      <c r="B608" s="27"/>
      <c r="C608" s="27"/>
      <c r="D608" s="27"/>
      <c r="E608" s="8"/>
      <c r="F608" s="8"/>
      <c r="G608" s="14"/>
      <c r="H608" s="8"/>
      <c r="I608" s="8"/>
      <c r="J608" s="8"/>
      <c r="K608" s="27"/>
      <c r="L608" s="8"/>
      <c r="M608" s="27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27"/>
      <c r="B609" s="27"/>
      <c r="C609" s="27"/>
      <c r="D609" s="27"/>
      <c r="E609" s="8"/>
      <c r="F609" s="8"/>
      <c r="G609" s="14"/>
      <c r="H609" s="8"/>
      <c r="I609" s="8"/>
      <c r="J609" s="8"/>
      <c r="K609" s="27"/>
      <c r="L609" s="8"/>
      <c r="M609" s="27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27"/>
      <c r="B610" s="27"/>
      <c r="C610" s="27"/>
      <c r="D610" s="27"/>
      <c r="E610" s="8"/>
      <c r="F610" s="8"/>
      <c r="G610" s="14"/>
      <c r="H610" s="8"/>
      <c r="I610" s="8"/>
      <c r="J610" s="8"/>
      <c r="K610" s="27"/>
      <c r="L610" s="8"/>
      <c r="M610" s="27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27"/>
      <c r="B611" s="27"/>
      <c r="C611" s="27"/>
      <c r="D611" s="27"/>
      <c r="E611" s="8"/>
      <c r="F611" s="8"/>
      <c r="G611" s="14"/>
      <c r="H611" s="8"/>
      <c r="I611" s="8"/>
      <c r="J611" s="8"/>
      <c r="K611" s="27"/>
      <c r="L611" s="8"/>
      <c r="M611" s="27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27"/>
      <c r="B612" s="27"/>
      <c r="C612" s="27"/>
      <c r="D612" s="27"/>
      <c r="E612" s="8"/>
      <c r="F612" s="8"/>
      <c r="G612" s="14"/>
      <c r="H612" s="8"/>
      <c r="I612" s="8"/>
      <c r="J612" s="8"/>
      <c r="K612" s="27"/>
      <c r="L612" s="8"/>
      <c r="M612" s="27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27"/>
      <c r="B613" s="27"/>
      <c r="C613" s="27"/>
      <c r="D613" s="27"/>
      <c r="E613" s="8"/>
      <c r="F613" s="8"/>
      <c r="G613" s="14"/>
      <c r="H613" s="8"/>
      <c r="I613" s="8"/>
      <c r="J613" s="8"/>
      <c r="K613" s="27"/>
      <c r="L613" s="8"/>
      <c r="M613" s="27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27"/>
      <c r="B614" s="27"/>
      <c r="C614" s="27"/>
      <c r="D614" s="27"/>
      <c r="E614" s="8"/>
      <c r="F614" s="8"/>
      <c r="G614" s="14"/>
      <c r="H614" s="8"/>
      <c r="I614" s="8"/>
      <c r="J614" s="8"/>
      <c r="K614" s="27"/>
      <c r="L614" s="8"/>
      <c r="M614" s="27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27"/>
      <c r="B615" s="27"/>
      <c r="C615" s="27"/>
      <c r="D615" s="27"/>
      <c r="E615" s="8"/>
      <c r="F615" s="8"/>
      <c r="G615" s="14"/>
      <c r="H615" s="8"/>
      <c r="I615" s="8"/>
      <c r="J615" s="8"/>
      <c r="K615" s="27"/>
      <c r="L615" s="8"/>
      <c r="M615" s="27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27"/>
      <c r="B616" s="27"/>
      <c r="C616" s="27"/>
      <c r="D616" s="27"/>
      <c r="E616" s="8"/>
      <c r="F616" s="8"/>
      <c r="G616" s="14"/>
      <c r="H616" s="8"/>
      <c r="I616" s="8"/>
      <c r="J616" s="8"/>
      <c r="K616" s="27"/>
      <c r="L616" s="8"/>
      <c r="M616" s="27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27"/>
      <c r="B617" s="27"/>
      <c r="C617" s="27"/>
      <c r="D617" s="27"/>
      <c r="E617" s="8"/>
      <c r="F617" s="8"/>
      <c r="G617" s="14"/>
      <c r="H617" s="8"/>
      <c r="I617" s="8"/>
      <c r="J617" s="8"/>
      <c r="K617" s="27"/>
      <c r="L617" s="8"/>
      <c r="M617" s="27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27"/>
      <c r="B618" s="27"/>
      <c r="C618" s="27"/>
      <c r="D618" s="27"/>
      <c r="E618" s="8"/>
      <c r="F618" s="8"/>
      <c r="G618" s="14"/>
      <c r="H618" s="8"/>
      <c r="I618" s="8"/>
      <c r="J618" s="8"/>
      <c r="K618" s="27"/>
      <c r="L618" s="8"/>
      <c r="M618" s="27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27"/>
      <c r="B619" s="27"/>
      <c r="C619" s="27"/>
      <c r="D619" s="27"/>
      <c r="E619" s="8"/>
      <c r="F619" s="8"/>
      <c r="G619" s="14"/>
      <c r="H619" s="8"/>
      <c r="I619" s="8"/>
      <c r="J619" s="8"/>
      <c r="K619" s="27"/>
      <c r="L619" s="8"/>
      <c r="M619" s="27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27"/>
      <c r="B620" s="27"/>
      <c r="C620" s="27"/>
      <c r="D620" s="27"/>
      <c r="E620" s="8"/>
      <c r="F620" s="8"/>
      <c r="G620" s="14"/>
      <c r="H620" s="8"/>
      <c r="I620" s="8"/>
      <c r="J620" s="8"/>
      <c r="K620" s="27"/>
      <c r="L620" s="8"/>
      <c r="M620" s="27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27"/>
      <c r="B621" s="27"/>
      <c r="C621" s="27"/>
      <c r="D621" s="27"/>
      <c r="E621" s="8"/>
      <c r="F621" s="8"/>
      <c r="G621" s="14"/>
      <c r="H621" s="8"/>
      <c r="I621" s="8"/>
      <c r="J621" s="8"/>
      <c r="K621" s="27"/>
      <c r="L621" s="8"/>
      <c r="M621" s="27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27"/>
      <c r="B622" s="27"/>
      <c r="C622" s="27"/>
      <c r="D622" s="27"/>
      <c r="E622" s="8"/>
      <c r="F622" s="8"/>
      <c r="G622" s="14"/>
      <c r="H622" s="8"/>
      <c r="I622" s="8"/>
      <c r="J622" s="8"/>
      <c r="K622" s="27"/>
      <c r="L622" s="8"/>
      <c r="M622" s="27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27"/>
      <c r="B623" s="27"/>
      <c r="C623" s="27"/>
      <c r="D623" s="27"/>
      <c r="E623" s="8"/>
      <c r="F623" s="8"/>
      <c r="G623" s="14"/>
      <c r="H623" s="8"/>
      <c r="I623" s="8"/>
      <c r="J623" s="8"/>
      <c r="K623" s="27"/>
      <c r="L623" s="8"/>
      <c r="M623" s="27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27"/>
      <c r="B624" s="27"/>
      <c r="C624" s="27"/>
      <c r="D624" s="27"/>
      <c r="E624" s="8"/>
      <c r="F624" s="8"/>
      <c r="G624" s="14"/>
      <c r="H624" s="8"/>
      <c r="I624" s="8"/>
      <c r="J624" s="8"/>
      <c r="K624" s="27"/>
      <c r="L624" s="8"/>
      <c r="M624" s="27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27"/>
      <c r="B625" s="27"/>
      <c r="C625" s="27"/>
      <c r="D625" s="27"/>
      <c r="E625" s="8"/>
      <c r="F625" s="8"/>
      <c r="G625" s="14"/>
      <c r="H625" s="8"/>
      <c r="I625" s="8"/>
      <c r="J625" s="8"/>
      <c r="K625" s="27"/>
      <c r="L625" s="8"/>
      <c r="M625" s="27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27"/>
      <c r="B626" s="27"/>
      <c r="C626" s="27"/>
      <c r="D626" s="27"/>
      <c r="E626" s="8"/>
      <c r="F626" s="8"/>
      <c r="G626" s="14"/>
      <c r="H626" s="8"/>
      <c r="I626" s="8"/>
      <c r="J626" s="8"/>
      <c r="K626" s="27"/>
      <c r="L626" s="8"/>
      <c r="M626" s="27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27"/>
      <c r="B627" s="27"/>
      <c r="C627" s="27"/>
      <c r="D627" s="27"/>
      <c r="E627" s="8"/>
      <c r="F627" s="8"/>
      <c r="G627" s="14"/>
      <c r="H627" s="8"/>
      <c r="I627" s="8"/>
      <c r="J627" s="8"/>
      <c r="K627" s="27"/>
      <c r="L627" s="8"/>
      <c r="M627" s="27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27"/>
      <c r="B628" s="27"/>
      <c r="C628" s="27"/>
      <c r="D628" s="27"/>
      <c r="E628" s="8"/>
      <c r="F628" s="8"/>
      <c r="G628" s="14"/>
      <c r="H628" s="8"/>
      <c r="I628" s="8"/>
      <c r="J628" s="8"/>
      <c r="K628" s="27"/>
      <c r="L628" s="8"/>
      <c r="M628" s="27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27"/>
      <c r="B629" s="27"/>
      <c r="C629" s="27"/>
      <c r="D629" s="27"/>
      <c r="E629" s="8"/>
      <c r="F629" s="8"/>
      <c r="G629" s="14"/>
      <c r="H629" s="8"/>
      <c r="I629" s="8"/>
      <c r="J629" s="8"/>
      <c r="K629" s="27"/>
      <c r="L629" s="8"/>
      <c r="M629" s="27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27"/>
      <c r="B630" s="27"/>
      <c r="C630" s="27"/>
      <c r="D630" s="27"/>
      <c r="E630" s="8"/>
      <c r="F630" s="8"/>
      <c r="G630" s="14"/>
      <c r="H630" s="8"/>
      <c r="I630" s="8"/>
      <c r="J630" s="8"/>
      <c r="K630" s="27"/>
      <c r="L630" s="8"/>
      <c r="M630" s="27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27"/>
      <c r="B631" s="27"/>
      <c r="C631" s="27"/>
      <c r="D631" s="27"/>
      <c r="E631" s="8"/>
      <c r="F631" s="8"/>
      <c r="G631" s="14"/>
      <c r="H631" s="8"/>
      <c r="I631" s="8"/>
      <c r="J631" s="8"/>
      <c r="K631" s="27"/>
      <c r="L631" s="8"/>
      <c r="M631" s="27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27"/>
      <c r="B632" s="27"/>
      <c r="C632" s="27"/>
      <c r="D632" s="27"/>
      <c r="E632" s="8"/>
      <c r="F632" s="8"/>
      <c r="G632" s="14"/>
      <c r="H632" s="8"/>
      <c r="I632" s="8"/>
      <c r="J632" s="8"/>
      <c r="K632" s="27"/>
      <c r="L632" s="8"/>
      <c r="M632" s="27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27"/>
      <c r="B633" s="27"/>
      <c r="C633" s="27"/>
      <c r="D633" s="27"/>
      <c r="E633" s="8"/>
      <c r="F633" s="8"/>
      <c r="G633" s="14"/>
      <c r="H633" s="8"/>
      <c r="I633" s="8"/>
      <c r="J633" s="8"/>
      <c r="K633" s="27"/>
      <c r="L633" s="8"/>
      <c r="M633" s="27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27"/>
      <c r="B634" s="27"/>
      <c r="C634" s="27"/>
      <c r="D634" s="27"/>
      <c r="E634" s="8"/>
      <c r="F634" s="8"/>
      <c r="G634" s="14"/>
      <c r="H634" s="8"/>
      <c r="I634" s="8"/>
      <c r="J634" s="8"/>
      <c r="K634" s="27"/>
      <c r="L634" s="8"/>
      <c r="M634" s="27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27"/>
      <c r="B635" s="27"/>
      <c r="C635" s="27"/>
      <c r="D635" s="27"/>
      <c r="E635" s="8"/>
      <c r="F635" s="8"/>
      <c r="G635" s="14"/>
      <c r="H635" s="8"/>
      <c r="I635" s="8"/>
      <c r="J635" s="8"/>
      <c r="K635" s="27"/>
      <c r="L635" s="8"/>
      <c r="M635" s="27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27"/>
      <c r="B636" s="27"/>
      <c r="C636" s="27"/>
      <c r="D636" s="27"/>
      <c r="E636" s="8"/>
      <c r="F636" s="8"/>
      <c r="G636" s="14"/>
      <c r="H636" s="8"/>
      <c r="I636" s="8"/>
      <c r="J636" s="8"/>
      <c r="K636" s="27"/>
      <c r="L636" s="8"/>
      <c r="M636" s="27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27"/>
      <c r="B637" s="27"/>
      <c r="C637" s="27"/>
      <c r="D637" s="27"/>
      <c r="E637" s="8"/>
      <c r="F637" s="8"/>
      <c r="G637" s="14"/>
      <c r="H637" s="8"/>
      <c r="I637" s="8"/>
      <c r="J637" s="8"/>
      <c r="K637" s="27"/>
      <c r="L637" s="8"/>
      <c r="M637" s="27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27"/>
      <c r="B638" s="27"/>
      <c r="C638" s="27"/>
      <c r="D638" s="27"/>
      <c r="E638" s="8"/>
      <c r="F638" s="8"/>
      <c r="G638" s="14"/>
      <c r="H638" s="8"/>
      <c r="I638" s="8"/>
      <c r="J638" s="8"/>
      <c r="K638" s="27"/>
      <c r="L638" s="8"/>
      <c r="M638" s="27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27"/>
      <c r="B639" s="27"/>
      <c r="C639" s="27"/>
      <c r="D639" s="27"/>
      <c r="E639" s="8"/>
      <c r="F639" s="8"/>
      <c r="G639" s="14"/>
      <c r="H639" s="8"/>
      <c r="I639" s="8"/>
      <c r="J639" s="8"/>
      <c r="K639" s="27"/>
      <c r="L639" s="8"/>
      <c r="M639" s="27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27"/>
      <c r="B640" s="27"/>
      <c r="C640" s="27"/>
      <c r="D640" s="27"/>
      <c r="E640" s="8"/>
      <c r="F640" s="8"/>
      <c r="G640" s="14"/>
      <c r="H640" s="8"/>
      <c r="I640" s="8"/>
      <c r="J640" s="8"/>
      <c r="K640" s="27"/>
      <c r="L640" s="8"/>
      <c r="M640" s="27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27"/>
      <c r="B641" s="27"/>
      <c r="C641" s="27"/>
      <c r="D641" s="27"/>
      <c r="E641" s="8"/>
      <c r="F641" s="8"/>
      <c r="G641" s="14"/>
      <c r="H641" s="8"/>
      <c r="I641" s="8"/>
      <c r="J641" s="8"/>
      <c r="K641" s="27"/>
      <c r="L641" s="8"/>
      <c r="M641" s="27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27"/>
      <c r="B642" s="27"/>
      <c r="C642" s="27"/>
      <c r="D642" s="27"/>
      <c r="E642" s="8"/>
      <c r="F642" s="8"/>
      <c r="G642" s="14"/>
      <c r="H642" s="8"/>
      <c r="I642" s="8"/>
      <c r="J642" s="8"/>
      <c r="K642" s="27"/>
      <c r="L642" s="8"/>
      <c r="M642" s="27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27"/>
      <c r="B643" s="27"/>
      <c r="C643" s="27"/>
      <c r="D643" s="27"/>
      <c r="E643" s="8"/>
      <c r="F643" s="8"/>
      <c r="G643" s="14"/>
      <c r="H643" s="8"/>
      <c r="I643" s="8"/>
      <c r="J643" s="8"/>
      <c r="K643" s="27"/>
      <c r="L643" s="8"/>
      <c r="M643" s="27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27"/>
      <c r="B644" s="27"/>
      <c r="C644" s="27"/>
      <c r="D644" s="27"/>
      <c r="E644" s="8"/>
      <c r="F644" s="8"/>
      <c r="G644" s="14"/>
      <c r="H644" s="8"/>
      <c r="I644" s="8"/>
      <c r="J644" s="8"/>
      <c r="K644" s="27"/>
      <c r="L644" s="8"/>
      <c r="M644" s="27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27"/>
      <c r="B645" s="27"/>
      <c r="C645" s="27"/>
      <c r="D645" s="27"/>
      <c r="E645" s="8"/>
      <c r="F645" s="8"/>
      <c r="G645" s="14"/>
      <c r="H645" s="8"/>
      <c r="I645" s="8"/>
      <c r="J645" s="8"/>
      <c r="K645" s="27"/>
      <c r="L645" s="8"/>
      <c r="M645" s="27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27"/>
      <c r="B646" s="27"/>
      <c r="C646" s="27"/>
      <c r="D646" s="27"/>
      <c r="E646" s="8"/>
      <c r="F646" s="8"/>
      <c r="G646" s="14"/>
      <c r="H646" s="8"/>
      <c r="I646" s="8"/>
      <c r="J646" s="8"/>
      <c r="K646" s="27"/>
      <c r="L646" s="8"/>
      <c r="M646" s="27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27"/>
      <c r="B647" s="27"/>
      <c r="C647" s="27"/>
      <c r="D647" s="27"/>
      <c r="E647" s="8"/>
      <c r="F647" s="8"/>
      <c r="G647" s="14"/>
      <c r="H647" s="8"/>
      <c r="I647" s="8"/>
      <c r="J647" s="8"/>
      <c r="K647" s="27"/>
      <c r="L647" s="8"/>
      <c r="M647" s="27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27"/>
      <c r="B648" s="27"/>
      <c r="C648" s="27"/>
      <c r="D648" s="27"/>
      <c r="E648" s="8"/>
      <c r="F648" s="8"/>
      <c r="G648" s="14"/>
      <c r="H648" s="8"/>
      <c r="I648" s="8"/>
      <c r="J648" s="8"/>
      <c r="K648" s="27"/>
      <c r="L648" s="8"/>
      <c r="M648" s="27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27"/>
      <c r="B649" s="27"/>
      <c r="C649" s="27"/>
      <c r="D649" s="27"/>
      <c r="E649" s="8"/>
      <c r="F649" s="8"/>
      <c r="G649" s="14"/>
      <c r="H649" s="8"/>
      <c r="I649" s="8"/>
      <c r="J649" s="8"/>
      <c r="K649" s="27"/>
      <c r="L649" s="8"/>
      <c r="M649" s="27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27"/>
      <c r="B650" s="27"/>
      <c r="C650" s="27"/>
      <c r="D650" s="27"/>
      <c r="E650" s="8"/>
      <c r="F650" s="8"/>
      <c r="G650" s="14"/>
      <c r="H650" s="8"/>
      <c r="I650" s="8"/>
      <c r="J650" s="8"/>
      <c r="K650" s="27"/>
      <c r="L650" s="8"/>
      <c r="M650" s="27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27"/>
      <c r="B651" s="27"/>
      <c r="C651" s="27"/>
      <c r="D651" s="27"/>
      <c r="E651" s="8"/>
      <c r="F651" s="8"/>
      <c r="G651" s="14"/>
      <c r="H651" s="8"/>
      <c r="I651" s="8"/>
      <c r="J651" s="8"/>
      <c r="K651" s="27"/>
      <c r="L651" s="8"/>
      <c r="M651" s="27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27"/>
      <c r="B652" s="27"/>
      <c r="C652" s="27"/>
      <c r="D652" s="27"/>
      <c r="E652" s="8"/>
      <c r="F652" s="8"/>
      <c r="G652" s="14"/>
      <c r="H652" s="8"/>
      <c r="I652" s="8"/>
      <c r="J652" s="8"/>
      <c r="K652" s="27"/>
      <c r="L652" s="8"/>
      <c r="M652" s="27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27"/>
      <c r="B653" s="27"/>
      <c r="C653" s="27"/>
      <c r="D653" s="27"/>
      <c r="E653" s="8"/>
      <c r="F653" s="8"/>
      <c r="G653" s="14"/>
      <c r="H653" s="8"/>
      <c r="I653" s="8"/>
      <c r="J653" s="8"/>
      <c r="K653" s="27"/>
      <c r="L653" s="8"/>
      <c r="M653" s="27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27"/>
      <c r="B654" s="27"/>
      <c r="C654" s="27"/>
      <c r="D654" s="27"/>
      <c r="E654" s="8"/>
      <c r="F654" s="8"/>
      <c r="G654" s="14"/>
      <c r="H654" s="8"/>
      <c r="I654" s="8"/>
      <c r="J654" s="8"/>
      <c r="K654" s="27"/>
      <c r="L654" s="8"/>
      <c r="M654" s="27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27"/>
      <c r="B655" s="27"/>
      <c r="C655" s="27"/>
      <c r="D655" s="27"/>
      <c r="E655" s="8"/>
      <c r="F655" s="8"/>
      <c r="G655" s="14"/>
      <c r="H655" s="8"/>
      <c r="I655" s="8"/>
      <c r="J655" s="8"/>
      <c r="K655" s="27"/>
      <c r="L655" s="8"/>
      <c r="M655" s="27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27"/>
      <c r="B656" s="27"/>
      <c r="C656" s="27"/>
      <c r="D656" s="27"/>
      <c r="E656" s="8"/>
      <c r="F656" s="8"/>
      <c r="G656" s="14"/>
      <c r="H656" s="8"/>
      <c r="I656" s="8"/>
      <c r="J656" s="8"/>
      <c r="K656" s="27"/>
      <c r="L656" s="8"/>
      <c r="M656" s="27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27"/>
      <c r="B657" s="27"/>
      <c r="C657" s="27"/>
      <c r="D657" s="27"/>
      <c r="E657" s="8"/>
      <c r="F657" s="8"/>
      <c r="G657" s="14"/>
      <c r="H657" s="8"/>
      <c r="I657" s="8"/>
      <c r="J657" s="8"/>
      <c r="K657" s="27"/>
      <c r="L657" s="8"/>
      <c r="M657" s="27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27"/>
      <c r="B658" s="27"/>
      <c r="C658" s="27"/>
      <c r="D658" s="27"/>
      <c r="E658" s="8"/>
      <c r="F658" s="8"/>
      <c r="G658" s="14"/>
      <c r="H658" s="8"/>
      <c r="I658" s="8"/>
      <c r="J658" s="8"/>
      <c r="K658" s="27"/>
      <c r="L658" s="8"/>
      <c r="M658" s="27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27"/>
      <c r="B659" s="27"/>
      <c r="C659" s="27"/>
      <c r="D659" s="27"/>
      <c r="E659" s="8"/>
      <c r="F659" s="8"/>
      <c r="G659" s="14"/>
      <c r="H659" s="8"/>
      <c r="I659" s="8"/>
      <c r="J659" s="8"/>
      <c r="K659" s="27"/>
      <c r="L659" s="8"/>
      <c r="M659" s="27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27"/>
      <c r="B660" s="27"/>
      <c r="C660" s="27"/>
      <c r="D660" s="27"/>
      <c r="E660" s="8"/>
      <c r="F660" s="8"/>
      <c r="G660" s="14"/>
      <c r="H660" s="8"/>
      <c r="I660" s="8"/>
      <c r="J660" s="8"/>
      <c r="K660" s="27"/>
      <c r="L660" s="8"/>
      <c r="M660" s="27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27"/>
      <c r="B661" s="27"/>
      <c r="C661" s="27"/>
      <c r="D661" s="27"/>
      <c r="E661" s="8"/>
      <c r="F661" s="8"/>
      <c r="G661" s="14"/>
      <c r="H661" s="8"/>
      <c r="I661" s="8"/>
      <c r="J661" s="8"/>
      <c r="K661" s="27"/>
      <c r="L661" s="8"/>
      <c r="M661" s="27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27"/>
      <c r="B662" s="27"/>
      <c r="C662" s="27"/>
      <c r="D662" s="27"/>
      <c r="E662" s="8"/>
      <c r="F662" s="8"/>
      <c r="G662" s="14"/>
      <c r="H662" s="8"/>
      <c r="I662" s="8"/>
      <c r="J662" s="8"/>
      <c r="K662" s="27"/>
      <c r="L662" s="8"/>
      <c r="M662" s="27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27"/>
      <c r="B663" s="27"/>
      <c r="C663" s="27"/>
      <c r="D663" s="27"/>
      <c r="E663" s="8"/>
      <c r="F663" s="8"/>
      <c r="G663" s="14"/>
      <c r="H663" s="8"/>
      <c r="I663" s="8"/>
      <c r="J663" s="8"/>
      <c r="K663" s="27"/>
      <c r="L663" s="8"/>
      <c r="M663" s="27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27"/>
      <c r="B664" s="27"/>
      <c r="C664" s="27"/>
      <c r="D664" s="27"/>
      <c r="E664" s="8"/>
      <c r="F664" s="8"/>
      <c r="G664" s="14"/>
      <c r="H664" s="8"/>
      <c r="I664" s="8"/>
      <c r="J664" s="8"/>
      <c r="K664" s="27"/>
      <c r="L664" s="8"/>
      <c r="M664" s="27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27"/>
      <c r="B665" s="27"/>
      <c r="C665" s="27"/>
      <c r="D665" s="27"/>
      <c r="E665" s="8"/>
      <c r="F665" s="8"/>
      <c r="G665" s="14"/>
      <c r="H665" s="8"/>
      <c r="I665" s="8"/>
      <c r="J665" s="8"/>
      <c r="K665" s="27"/>
      <c r="L665" s="8"/>
      <c r="M665" s="27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27"/>
      <c r="B666" s="27"/>
      <c r="C666" s="27"/>
      <c r="D666" s="27"/>
      <c r="E666" s="8"/>
      <c r="F666" s="8"/>
      <c r="G666" s="14"/>
      <c r="H666" s="8"/>
      <c r="I666" s="8"/>
      <c r="J666" s="8"/>
      <c r="K666" s="27"/>
      <c r="L666" s="8"/>
      <c r="M666" s="27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27"/>
      <c r="B667" s="27"/>
      <c r="C667" s="27"/>
      <c r="D667" s="27"/>
      <c r="E667" s="8"/>
      <c r="F667" s="8"/>
      <c r="G667" s="14"/>
      <c r="H667" s="8"/>
      <c r="I667" s="8"/>
      <c r="J667" s="8"/>
      <c r="K667" s="27"/>
      <c r="L667" s="8"/>
      <c r="M667" s="27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27"/>
      <c r="B668" s="27"/>
      <c r="C668" s="27"/>
      <c r="D668" s="27"/>
      <c r="E668" s="8"/>
      <c r="F668" s="8"/>
      <c r="G668" s="14"/>
      <c r="H668" s="8"/>
      <c r="I668" s="8"/>
      <c r="J668" s="8"/>
      <c r="K668" s="27"/>
      <c r="L668" s="8"/>
      <c r="M668" s="27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27"/>
      <c r="B669" s="27"/>
      <c r="C669" s="27"/>
      <c r="D669" s="27"/>
      <c r="E669" s="8"/>
      <c r="F669" s="8"/>
      <c r="G669" s="14"/>
      <c r="H669" s="8"/>
      <c r="I669" s="8"/>
      <c r="J669" s="8"/>
      <c r="K669" s="27"/>
      <c r="L669" s="8"/>
      <c r="M669" s="27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27"/>
      <c r="B670" s="27"/>
      <c r="C670" s="27"/>
      <c r="D670" s="27"/>
      <c r="E670" s="8"/>
      <c r="F670" s="8"/>
      <c r="G670" s="14"/>
      <c r="H670" s="8"/>
      <c r="I670" s="8"/>
      <c r="J670" s="8"/>
      <c r="K670" s="27"/>
      <c r="L670" s="8"/>
      <c r="M670" s="27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27"/>
      <c r="B671" s="27"/>
      <c r="C671" s="27"/>
      <c r="D671" s="27"/>
      <c r="E671" s="8"/>
      <c r="F671" s="8"/>
      <c r="G671" s="14"/>
      <c r="H671" s="8"/>
      <c r="I671" s="8"/>
      <c r="J671" s="8"/>
      <c r="K671" s="27"/>
      <c r="L671" s="8"/>
      <c r="M671" s="27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27"/>
      <c r="B672" s="27"/>
      <c r="C672" s="27"/>
      <c r="D672" s="27"/>
      <c r="E672" s="8"/>
      <c r="F672" s="8"/>
      <c r="G672" s="14"/>
      <c r="H672" s="8"/>
      <c r="I672" s="8"/>
      <c r="J672" s="8"/>
      <c r="K672" s="27"/>
      <c r="L672" s="8"/>
      <c r="M672" s="27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27"/>
      <c r="B673" s="27"/>
      <c r="C673" s="27"/>
      <c r="D673" s="27"/>
      <c r="E673" s="8"/>
      <c r="F673" s="8"/>
      <c r="G673" s="14"/>
      <c r="H673" s="8"/>
      <c r="I673" s="8"/>
      <c r="J673" s="8"/>
      <c r="K673" s="27"/>
      <c r="L673" s="8"/>
      <c r="M673" s="27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27"/>
      <c r="B674" s="27"/>
      <c r="C674" s="27"/>
      <c r="D674" s="27"/>
      <c r="E674" s="8"/>
      <c r="F674" s="8"/>
      <c r="G674" s="14"/>
      <c r="H674" s="8"/>
      <c r="I674" s="8"/>
      <c r="J674" s="8"/>
      <c r="K674" s="27"/>
      <c r="L674" s="8"/>
      <c r="M674" s="27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27"/>
      <c r="B675" s="27"/>
      <c r="C675" s="27"/>
      <c r="D675" s="27"/>
      <c r="E675" s="8"/>
      <c r="F675" s="8"/>
      <c r="G675" s="14"/>
      <c r="H675" s="8"/>
      <c r="I675" s="8"/>
      <c r="J675" s="8"/>
      <c r="K675" s="27"/>
      <c r="L675" s="8"/>
      <c r="M675" s="27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27"/>
      <c r="B676" s="27"/>
      <c r="C676" s="27"/>
      <c r="D676" s="27"/>
      <c r="E676" s="8"/>
      <c r="F676" s="8"/>
      <c r="G676" s="14"/>
      <c r="H676" s="8"/>
      <c r="I676" s="8"/>
      <c r="J676" s="8"/>
      <c r="K676" s="27"/>
      <c r="L676" s="8"/>
      <c r="M676" s="27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27"/>
      <c r="B677" s="27"/>
      <c r="C677" s="27"/>
      <c r="D677" s="27"/>
      <c r="E677" s="8"/>
      <c r="F677" s="8"/>
      <c r="G677" s="14"/>
      <c r="H677" s="8"/>
      <c r="I677" s="8"/>
      <c r="J677" s="8"/>
      <c r="K677" s="27"/>
      <c r="L677" s="8"/>
      <c r="M677" s="27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27"/>
      <c r="B678" s="27"/>
      <c r="C678" s="27"/>
      <c r="D678" s="27"/>
      <c r="E678" s="8"/>
      <c r="F678" s="8"/>
      <c r="G678" s="14"/>
      <c r="H678" s="8"/>
      <c r="I678" s="8"/>
      <c r="J678" s="8"/>
      <c r="K678" s="27"/>
      <c r="L678" s="8"/>
      <c r="M678" s="27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27"/>
      <c r="B679" s="27"/>
      <c r="C679" s="27"/>
      <c r="D679" s="27"/>
      <c r="E679" s="8"/>
      <c r="F679" s="8"/>
      <c r="G679" s="14"/>
      <c r="H679" s="8"/>
      <c r="I679" s="8"/>
      <c r="J679" s="8"/>
      <c r="K679" s="27"/>
      <c r="L679" s="8"/>
      <c r="M679" s="27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27"/>
      <c r="B680" s="27"/>
      <c r="C680" s="27"/>
      <c r="D680" s="27"/>
      <c r="E680" s="8"/>
      <c r="F680" s="8"/>
      <c r="G680" s="14"/>
      <c r="H680" s="8"/>
      <c r="I680" s="8"/>
      <c r="J680" s="8"/>
      <c r="K680" s="27"/>
      <c r="L680" s="8"/>
      <c r="M680" s="27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27"/>
      <c r="B681" s="27"/>
      <c r="C681" s="27"/>
      <c r="D681" s="27"/>
      <c r="E681" s="8"/>
      <c r="F681" s="8"/>
      <c r="G681" s="14"/>
      <c r="H681" s="8"/>
      <c r="I681" s="8"/>
      <c r="J681" s="8"/>
      <c r="K681" s="27"/>
      <c r="L681" s="8"/>
      <c r="M681" s="27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27"/>
      <c r="B682" s="27"/>
      <c r="C682" s="27"/>
      <c r="D682" s="27"/>
      <c r="E682" s="8"/>
      <c r="F682" s="8"/>
      <c r="G682" s="14"/>
      <c r="H682" s="8"/>
      <c r="I682" s="8"/>
      <c r="J682" s="8"/>
      <c r="K682" s="27"/>
      <c r="L682" s="8"/>
      <c r="M682" s="27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27"/>
      <c r="B683" s="27"/>
      <c r="C683" s="27"/>
      <c r="D683" s="27"/>
      <c r="E683" s="8"/>
      <c r="F683" s="8"/>
      <c r="G683" s="14"/>
      <c r="H683" s="8"/>
      <c r="I683" s="8"/>
      <c r="J683" s="8"/>
      <c r="K683" s="27"/>
      <c r="L683" s="8"/>
      <c r="M683" s="27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27"/>
      <c r="B684" s="27"/>
      <c r="C684" s="27"/>
      <c r="D684" s="27"/>
      <c r="E684" s="8"/>
      <c r="F684" s="8"/>
      <c r="G684" s="14"/>
      <c r="H684" s="8"/>
      <c r="I684" s="8"/>
      <c r="J684" s="8"/>
      <c r="K684" s="27"/>
      <c r="L684" s="8"/>
      <c r="M684" s="27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27"/>
      <c r="B685" s="27"/>
      <c r="C685" s="27"/>
      <c r="D685" s="27"/>
      <c r="E685" s="8"/>
      <c r="F685" s="8"/>
      <c r="G685" s="14"/>
      <c r="H685" s="8"/>
      <c r="I685" s="8"/>
      <c r="J685" s="8"/>
      <c r="K685" s="27"/>
      <c r="L685" s="8"/>
      <c r="M685" s="27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27"/>
      <c r="B686" s="27"/>
      <c r="C686" s="27"/>
      <c r="D686" s="27"/>
      <c r="E686" s="8"/>
      <c r="F686" s="8"/>
      <c r="G686" s="14"/>
      <c r="H686" s="8"/>
      <c r="I686" s="8"/>
      <c r="J686" s="8"/>
      <c r="K686" s="27"/>
      <c r="L686" s="8"/>
      <c r="M686" s="27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27"/>
      <c r="B687" s="27"/>
      <c r="C687" s="27"/>
      <c r="D687" s="27"/>
      <c r="E687" s="8"/>
      <c r="F687" s="8"/>
      <c r="G687" s="14"/>
      <c r="H687" s="8"/>
      <c r="I687" s="8"/>
      <c r="J687" s="8"/>
      <c r="K687" s="27"/>
      <c r="L687" s="8"/>
      <c r="M687" s="27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27"/>
      <c r="B688" s="27"/>
      <c r="C688" s="27"/>
      <c r="D688" s="27"/>
      <c r="E688" s="8"/>
      <c r="F688" s="8"/>
      <c r="G688" s="14"/>
      <c r="H688" s="8"/>
      <c r="I688" s="8"/>
      <c r="J688" s="8"/>
      <c r="K688" s="27"/>
      <c r="L688" s="8"/>
      <c r="M688" s="27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27"/>
      <c r="B689" s="27"/>
      <c r="C689" s="27"/>
      <c r="D689" s="27"/>
      <c r="E689" s="8"/>
      <c r="F689" s="8"/>
      <c r="G689" s="14"/>
      <c r="H689" s="8"/>
      <c r="I689" s="8"/>
      <c r="J689" s="8"/>
      <c r="K689" s="27"/>
      <c r="L689" s="8"/>
      <c r="M689" s="27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27"/>
      <c r="B690" s="27"/>
      <c r="C690" s="27"/>
      <c r="D690" s="27"/>
      <c r="E690" s="8"/>
      <c r="F690" s="8"/>
      <c r="G690" s="14"/>
      <c r="H690" s="8"/>
      <c r="I690" s="8"/>
      <c r="J690" s="8"/>
      <c r="K690" s="27"/>
      <c r="L690" s="8"/>
      <c r="M690" s="27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27"/>
      <c r="B691" s="27"/>
      <c r="C691" s="27"/>
      <c r="D691" s="27"/>
      <c r="E691" s="8"/>
      <c r="F691" s="8"/>
      <c r="G691" s="14"/>
      <c r="H691" s="8"/>
      <c r="I691" s="8"/>
      <c r="J691" s="8"/>
      <c r="K691" s="27"/>
      <c r="L691" s="8"/>
      <c r="M691" s="27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27"/>
      <c r="B692" s="27"/>
      <c r="C692" s="27"/>
      <c r="D692" s="27"/>
      <c r="E692" s="8"/>
      <c r="F692" s="8"/>
      <c r="G692" s="14"/>
      <c r="H692" s="8"/>
      <c r="I692" s="8"/>
      <c r="J692" s="8"/>
      <c r="K692" s="27"/>
      <c r="L692" s="8"/>
      <c r="M692" s="27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27"/>
      <c r="B693" s="27"/>
      <c r="C693" s="27"/>
      <c r="D693" s="27"/>
      <c r="E693" s="8"/>
      <c r="F693" s="8"/>
      <c r="G693" s="14"/>
      <c r="H693" s="8"/>
      <c r="I693" s="8"/>
      <c r="J693" s="8"/>
      <c r="K693" s="27"/>
      <c r="L693" s="8"/>
      <c r="M693" s="27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27"/>
      <c r="B694" s="27"/>
      <c r="C694" s="27"/>
      <c r="D694" s="27"/>
      <c r="E694" s="8"/>
      <c r="F694" s="8"/>
      <c r="G694" s="14"/>
      <c r="H694" s="8"/>
      <c r="I694" s="8"/>
      <c r="J694" s="8"/>
      <c r="K694" s="27"/>
      <c r="L694" s="8"/>
      <c r="M694" s="27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27"/>
      <c r="B695" s="27"/>
      <c r="C695" s="27"/>
      <c r="D695" s="27"/>
      <c r="E695" s="8"/>
      <c r="F695" s="8"/>
      <c r="G695" s="14"/>
      <c r="H695" s="8"/>
      <c r="I695" s="8"/>
      <c r="J695" s="8"/>
      <c r="K695" s="27"/>
      <c r="L695" s="8"/>
      <c r="M695" s="27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27"/>
      <c r="B696" s="27"/>
      <c r="C696" s="27"/>
      <c r="D696" s="27"/>
      <c r="E696" s="8"/>
      <c r="F696" s="8"/>
      <c r="G696" s="14"/>
      <c r="H696" s="8"/>
      <c r="I696" s="8"/>
      <c r="J696" s="8"/>
      <c r="K696" s="27"/>
      <c r="L696" s="8"/>
      <c r="M696" s="27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27"/>
      <c r="B697" s="27"/>
      <c r="C697" s="27"/>
      <c r="D697" s="27"/>
      <c r="E697" s="8"/>
      <c r="F697" s="8"/>
      <c r="G697" s="14"/>
      <c r="H697" s="8"/>
      <c r="I697" s="8"/>
      <c r="J697" s="8"/>
      <c r="K697" s="27"/>
      <c r="L697" s="8"/>
      <c r="M697" s="27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27"/>
      <c r="B698" s="27"/>
      <c r="C698" s="27"/>
      <c r="D698" s="27"/>
      <c r="E698" s="8"/>
      <c r="F698" s="8"/>
      <c r="G698" s="14"/>
      <c r="H698" s="8"/>
      <c r="I698" s="8"/>
      <c r="J698" s="8"/>
      <c r="K698" s="27"/>
      <c r="L698" s="8"/>
      <c r="M698" s="27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27"/>
      <c r="B699" s="27"/>
      <c r="C699" s="27"/>
      <c r="D699" s="27"/>
      <c r="E699" s="8"/>
      <c r="F699" s="8"/>
      <c r="G699" s="14"/>
      <c r="H699" s="8"/>
      <c r="I699" s="8"/>
      <c r="J699" s="8"/>
      <c r="K699" s="27"/>
      <c r="L699" s="8"/>
      <c r="M699" s="27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27"/>
      <c r="B700" s="27"/>
      <c r="C700" s="27"/>
      <c r="D700" s="27"/>
      <c r="E700" s="8"/>
      <c r="F700" s="8"/>
      <c r="G700" s="14"/>
      <c r="H700" s="8"/>
      <c r="I700" s="8"/>
      <c r="J700" s="8"/>
      <c r="K700" s="27"/>
      <c r="L700" s="8"/>
      <c r="M700" s="27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27"/>
      <c r="B701" s="27"/>
      <c r="C701" s="27"/>
      <c r="D701" s="27"/>
      <c r="E701" s="8"/>
      <c r="F701" s="8"/>
      <c r="G701" s="14"/>
      <c r="H701" s="8"/>
      <c r="I701" s="8"/>
      <c r="J701" s="8"/>
      <c r="K701" s="27"/>
      <c r="L701" s="8"/>
      <c r="M701" s="27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27"/>
      <c r="B702" s="27"/>
      <c r="C702" s="27"/>
      <c r="D702" s="27"/>
      <c r="E702" s="8"/>
      <c r="F702" s="8"/>
      <c r="G702" s="14"/>
      <c r="H702" s="8"/>
      <c r="I702" s="8"/>
      <c r="J702" s="8"/>
      <c r="K702" s="27"/>
      <c r="L702" s="8"/>
      <c r="M702" s="27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27"/>
      <c r="B703" s="27"/>
      <c r="C703" s="27"/>
      <c r="D703" s="27"/>
      <c r="E703" s="8"/>
      <c r="F703" s="8"/>
      <c r="G703" s="14"/>
      <c r="H703" s="8"/>
      <c r="I703" s="8"/>
      <c r="J703" s="8"/>
      <c r="K703" s="27"/>
      <c r="L703" s="8"/>
      <c r="M703" s="27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27"/>
      <c r="B704" s="27"/>
      <c r="C704" s="27"/>
      <c r="D704" s="27"/>
      <c r="E704" s="8"/>
      <c r="F704" s="8"/>
      <c r="G704" s="14"/>
      <c r="H704" s="8"/>
      <c r="I704" s="8"/>
      <c r="J704" s="8"/>
      <c r="K704" s="27"/>
      <c r="L704" s="8"/>
      <c r="M704" s="27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27"/>
      <c r="B705" s="27"/>
      <c r="C705" s="27"/>
      <c r="D705" s="27"/>
      <c r="E705" s="8"/>
      <c r="F705" s="8"/>
      <c r="G705" s="14"/>
      <c r="H705" s="8"/>
      <c r="I705" s="8"/>
      <c r="J705" s="8"/>
      <c r="K705" s="27"/>
      <c r="L705" s="8"/>
      <c r="M705" s="27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27"/>
      <c r="B706" s="27"/>
      <c r="C706" s="27"/>
      <c r="D706" s="27"/>
      <c r="E706" s="8"/>
      <c r="F706" s="8"/>
      <c r="G706" s="14"/>
      <c r="H706" s="8"/>
      <c r="I706" s="8"/>
      <c r="J706" s="8"/>
      <c r="K706" s="27"/>
      <c r="L706" s="8"/>
      <c r="M706" s="27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27"/>
      <c r="B707" s="27"/>
      <c r="C707" s="27"/>
      <c r="D707" s="27"/>
      <c r="E707" s="8"/>
      <c r="F707" s="8"/>
      <c r="G707" s="14"/>
      <c r="H707" s="8"/>
      <c r="I707" s="8"/>
      <c r="J707" s="8"/>
      <c r="K707" s="27"/>
      <c r="L707" s="8"/>
      <c r="M707" s="27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27"/>
      <c r="B708" s="27"/>
      <c r="C708" s="27"/>
      <c r="D708" s="27"/>
      <c r="E708" s="8"/>
      <c r="F708" s="8"/>
      <c r="G708" s="14"/>
      <c r="H708" s="8"/>
      <c r="I708" s="8"/>
      <c r="J708" s="8"/>
      <c r="K708" s="27"/>
      <c r="L708" s="8"/>
      <c r="M708" s="27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27"/>
      <c r="B709" s="27"/>
      <c r="C709" s="27"/>
      <c r="D709" s="27"/>
      <c r="E709" s="8"/>
      <c r="F709" s="8"/>
      <c r="G709" s="14"/>
      <c r="H709" s="8"/>
      <c r="I709" s="8"/>
      <c r="J709" s="8"/>
      <c r="K709" s="27"/>
      <c r="L709" s="8"/>
      <c r="M709" s="27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27"/>
      <c r="B710" s="27"/>
      <c r="C710" s="27"/>
      <c r="D710" s="27"/>
      <c r="E710" s="8"/>
      <c r="F710" s="8"/>
      <c r="G710" s="14"/>
      <c r="H710" s="8"/>
      <c r="I710" s="8"/>
      <c r="J710" s="8"/>
      <c r="K710" s="27"/>
      <c r="L710" s="8"/>
      <c r="M710" s="27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27"/>
      <c r="B711" s="27"/>
      <c r="C711" s="27"/>
      <c r="D711" s="27"/>
      <c r="E711" s="8"/>
      <c r="F711" s="8"/>
      <c r="G711" s="14"/>
      <c r="H711" s="8"/>
      <c r="I711" s="8"/>
      <c r="J711" s="8"/>
      <c r="K711" s="27"/>
      <c r="L711" s="8"/>
      <c r="M711" s="27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27"/>
      <c r="B712" s="27"/>
      <c r="C712" s="27"/>
      <c r="D712" s="27"/>
      <c r="E712" s="8"/>
      <c r="F712" s="8"/>
      <c r="G712" s="14"/>
      <c r="H712" s="8"/>
      <c r="I712" s="8"/>
      <c r="J712" s="8"/>
      <c r="K712" s="27"/>
      <c r="L712" s="8"/>
      <c r="M712" s="27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27"/>
      <c r="B713" s="27"/>
      <c r="C713" s="27"/>
      <c r="D713" s="27"/>
      <c r="E713" s="8"/>
      <c r="F713" s="8"/>
      <c r="G713" s="14"/>
      <c r="H713" s="8"/>
      <c r="I713" s="8"/>
      <c r="J713" s="8"/>
      <c r="K713" s="27"/>
      <c r="L713" s="8"/>
      <c r="M713" s="27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27"/>
      <c r="B714" s="27"/>
      <c r="C714" s="27"/>
      <c r="D714" s="27"/>
      <c r="E714" s="8"/>
      <c r="F714" s="8"/>
      <c r="G714" s="14"/>
      <c r="H714" s="8"/>
      <c r="I714" s="8"/>
      <c r="J714" s="8"/>
      <c r="K714" s="27"/>
      <c r="L714" s="8"/>
      <c r="M714" s="27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27"/>
      <c r="B715" s="27"/>
      <c r="C715" s="27"/>
      <c r="D715" s="27"/>
      <c r="E715" s="8"/>
      <c r="F715" s="8"/>
      <c r="G715" s="14"/>
      <c r="H715" s="8"/>
      <c r="I715" s="8"/>
      <c r="J715" s="8"/>
      <c r="K715" s="27"/>
      <c r="L715" s="8"/>
      <c r="M715" s="27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27"/>
      <c r="B716" s="27"/>
      <c r="C716" s="27"/>
      <c r="D716" s="27"/>
      <c r="E716" s="8"/>
      <c r="F716" s="8"/>
      <c r="G716" s="14"/>
      <c r="H716" s="8"/>
      <c r="I716" s="8"/>
      <c r="J716" s="8"/>
      <c r="K716" s="27"/>
      <c r="L716" s="8"/>
      <c r="M716" s="27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27"/>
      <c r="B717" s="27"/>
      <c r="C717" s="27"/>
      <c r="D717" s="27"/>
      <c r="E717" s="8"/>
      <c r="F717" s="8"/>
      <c r="G717" s="14"/>
      <c r="H717" s="8"/>
      <c r="I717" s="8"/>
      <c r="J717" s="8"/>
      <c r="K717" s="27"/>
      <c r="L717" s="8"/>
      <c r="M717" s="27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27"/>
      <c r="B718" s="27"/>
      <c r="C718" s="27"/>
      <c r="D718" s="27"/>
      <c r="E718" s="8"/>
      <c r="F718" s="8"/>
      <c r="G718" s="14"/>
      <c r="H718" s="8"/>
      <c r="I718" s="8"/>
      <c r="J718" s="8"/>
      <c r="K718" s="27"/>
      <c r="L718" s="8"/>
      <c r="M718" s="27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27"/>
      <c r="B719" s="27"/>
      <c r="C719" s="27"/>
      <c r="D719" s="27"/>
      <c r="E719" s="8"/>
      <c r="F719" s="8"/>
      <c r="G719" s="14"/>
      <c r="H719" s="8"/>
      <c r="I719" s="8"/>
      <c r="J719" s="8"/>
      <c r="K719" s="27"/>
      <c r="L719" s="8"/>
      <c r="M719" s="27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27"/>
      <c r="B720" s="27"/>
      <c r="C720" s="27"/>
      <c r="D720" s="27"/>
      <c r="E720" s="8"/>
      <c r="F720" s="8"/>
      <c r="G720" s="14"/>
      <c r="H720" s="8"/>
      <c r="I720" s="8"/>
      <c r="J720" s="8"/>
      <c r="K720" s="27"/>
      <c r="L720" s="8"/>
      <c r="M720" s="27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27"/>
      <c r="B721" s="27"/>
      <c r="C721" s="27"/>
      <c r="D721" s="27"/>
      <c r="E721" s="8"/>
      <c r="F721" s="8"/>
      <c r="G721" s="14"/>
      <c r="H721" s="8"/>
      <c r="I721" s="8"/>
      <c r="J721" s="8"/>
      <c r="K721" s="27"/>
      <c r="L721" s="8"/>
      <c r="M721" s="27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27"/>
      <c r="B722" s="27"/>
      <c r="C722" s="27"/>
      <c r="D722" s="27"/>
      <c r="E722" s="8"/>
      <c r="F722" s="8"/>
      <c r="G722" s="14"/>
      <c r="H722" s="8"/>
      <c r="I722" s="8"/>
      <c r="J722" s="8"/>
      <c r="K722" s="27"/>
      <c r="L722" s="8"/>
      <c r="M722" s="27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27"/>
      <c r="B723" s="27"/>
      <c r="C723" s="27"/>
      <c r="D723" s="27"/>
      <c r="E723" s="8"/>
      <c r="F723" s="8"/>
      <c r="G723" s="14"/>
      <c r="H723" s="8"/>
      <c r="I723" s="8"/>
      <c r="J723" s="8"/>
      <c r="K723" s="27"/>
      <c r="L723" s="8"/>
      <c r="M723" s="27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27"/>
      <c r="B724" s="27"/>
      <c r="C724" s="27"/>
      <c r="D724" s="27"/>
      <c r="E724" s="8"/>
      <c r="F724" s="8"/>
      <c r="G724" s="14"/>
      <c r="H724" s="8"/>
      <c r="I724" s="8"/>
      <c r="J724" s="8"/>
      <c r="K724" s="27"/>
      <c r="L724" s="8"/>
      <c r="M724" s="27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27"/>
      <c r="B725" s="27"/>
      <c r="C725" s="27"/>
      <c r="D725" s="27"/>
      <c r="E725" s="8"/>
      <c r="F725" s="8"/>
      <c r="G725" s="14"/>
      <c r="H725" s="8"/>
      <c r="I725" s="8"/>
      <c r="J725" s="8"/>
      <c r="K725" s="27"/>
      <c r="L725" s="8"/>
      <c r="M725" s="27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27"/>
      <c r="B726" s="27"/>
      <c r="C726" s="27"/>
      <c r="D726" s="27"/>
      <c r="E726" s="8"/>
      <c r="F726" s="8"/>
      <c r="G726" s="14"/>
      <c r="H726" s="8"/>
      <c r="I726" s="8"/>
      <c r="J726" s="8"/>
      <c r="K726" s="27"/>
      <c r="L726" s="8"/>
      <c r="M726" s="27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27"/>
      <c r="B727" s="27"/>
      <c r="C727" s="27"/>
      <c r="D727" s="27"/>
      <c r="E727" s="8"/>
      <c r="F727" s="8"/>
      <c r="G727" s="14"/>
      <c r="H727" s="8"/>
      <c r="I727" s="8"/>
      <c r="J727" s="8"/>
      <c r="K727" s="27"/>
      <c r="L727" s="8"/>
      <c r="M727" s="27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27"/>
      <c r="B728" s="27"/>
      <c r="C728" s="27"/>
      <c r="D728" s="27"/>
      <c r="E728" s="8"/>
      <c r="F728" s="8"/>
      <c r="G728" s="14"/>
      <c r="H728" s="8"/>
      <c r="I728" s="8"/>
      <c r="J728" s="8"/>
      <c r="K728" s="27"/>
      <c r="L728" s="8"/>
      <c r="M728" s="27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27"/>
      <c r="B729" s="27"/>
      <c r="C729" s="27"/>
      <c r="D729" s="27"/>
      <c r="E729" s="8"/>
      <c r="F729" s="8"/>
      <c r="G729" s="14"/>
      <c r="H729" s="8"/>
      <c r="I729" s="8"/>
      <c r="J729" s="8"/>
      <c r="K729" s="27"/>
      <c r="L729" s="8"/>
      <c r="M729" s="27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27"/>
      <c r="B730" s="27"/>
      <c r="C730" s="27"/>
      <c r="D730" s="27"/>
      <c r="E730" s="8"/>
      <c r="F730" s="8"/>
      <c r="G730" s="14"/>
      <c r="H730" s="8"/>
      <c r="I730" s="8"/>
      <c r="J730" s="8"/>
      <c r="K730" s="27"/>
      <c r="L730" s="8"/>
      <c r="M730" s="27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27"/>
      <c r="B731" s="27"/>
      <c r="C731" s="27"/>
      <c r="D731" s="27"/>
      <c r="E731" s="8"/>
      <c r="F731" s="8"/>
      <c r="G731" s="14"/>
      <c r="H731" s="8"/>
      <c r="I731" s="8"/>
      <c r="J731" s="8"/>
      <c r="K731" s="27"/>
      <c r="L731" s="8"/>
      <c r="M731" s="27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27"/>
      <c r="B732" s="27"/>
      <c r="C732" s="27"/>
      <c r="D732" s="27"/>
      <c r="E732" s="8"/>
      <c r="F732" s="8"/>
      <c r="G732" s="14"/>
      <c r="H732" s="8"/>
      <c r="I732" s="8"/>
      <c r="J732" s="8"/>
      <c r="K732" s="27"/>
      <c r="L732" s="8"/>
      <c r="M732" s="27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27"/>
      <c r="B733" s="27"/>
      <c r="C733" s="27"/>
      <c r="D733" s="27"/>
      <c r="E733" s="8"/>
      <c r="F733" s="8"/>
      <c r="G733" s="14"/>
      <c r="H733" s="8"/>
      <c r="I733" s="8"/>
      <c r="J733" s="8"/>
      <c r="K733" s="27"/>
      <c r="L733" s="8"/>
      <c r="M733" s="27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27"/>
      <c r="B734" s="27"/>
      <c r="C734" s="27"/>
      <c r="D734" s="27"/>
      <c r="E734" s="8"/>
      <c r="F734" s="8"/>
      <c r="G734" s="14"/>
      <c r="H734" s="8"/>
      <c r="I734" s="8"/>
      <c r="J734" s="8"/>
      <c r="K734" s="27"/>
      <c r="L734" s="8"/>
      <c r="M734" s="27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27"/>
      <c r="B735" s="27"/>
      <c r="C735" s="27"/>
      <c r="D735" s="27"/>
      <c r="E735" s="8"/>
      <c r="F735" s="8"/>
      <c r="G735" s="14"/>
      <c r="H735" s="8"/>
      <c r="I735" s="8"/>
      <c r="J735" s="8"/>
      <c r="K735" s="27"/>
      <c r="L735" s="8"/>
      <c r="M735" s="27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27"/>
      <c r="B736" s="27"/>
      <c r="C736" s="27"/>
      <c r="D736" s="27"/>
      <c r="E736" s="8"/>
      <c r="F736" s="8"/>
      <c r="G736" s="14"/>
      <c r="H736" s="8"/>
      <c r="I736" s="8"/>
      <c r="J736" s="8"/>
      <c r="K736" s="27"/>
      <c r="L736" s="8"/>
      <c r="M736" s="27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27"/>
      <c r="B737" s="27"/>
      <c r="C737" s="27"/>
      <c r="D737" s="27"/>
      <c r="E737" s="8"/>
      <c r="F737" s="8"/>
      <c r="G737" s="14"/>
      <c r="H737" s="8"/>
      <c r="I737" s="8"/>
      <c r="J737" s="8"/>
      <c r="K737" s="27"/>
      <c r="L737" s="8"/>
      <c r="M737" s="27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27"/>
      <c r="B738" s="27"/>
      <c r="C738" s="27"/>
      <c r="D738" s="27"/>
      <c r="E738" s="8"/>
      <c r="F738" s="8"/>
      <c r="G738" s="14"/>
      <c r="H738" s="8"/>
      <c r="I738" s="8"/>
      <c r="J738" s="8"/>
      <c r="K738" s="27"/>
      <c r="L738" s="8"/>
      <c r="M738" s="27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27"/>
      <c r="B739" s="27"/>
      <c r="C739" s="27"/>
      <c r="D739" s="27"/>
      <c r="E739" s="8"/>
      <c r="F739" s="8"/>
      <c r="G739" s="14"/>
      <c r="H739" s="8"/>
      <c r="I739" s="8"/>
      <c r="J739" s="8"/>
      <c r="K739" s="27"/>
      <c r="L739" s="8"/>
      <c r="M739" s="27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27"/>
      <c r="B740" s="27"/>
      <c r="C740" s="27"/>
      <c r="D740" s="27"/>
      <c r="E740" s="8"/>
      <c r="F740" s="8"/>
      <c r="G740" s="14"/>
      <c r="H740" s="8"/>
      <c r="I740" s="8"/>
      <c r="J740" s="8"/>
      <c r="K740" s="27"/>
      <c r="L740" s="8"/>
      <c r="M740" s="27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27"/>
      <c r="B741" s="27"/>
      <c r="C741" s="27"/>
      <c r="D741" s="27"/>
      <c r="E741" s="8"/>
      <c r="F741" s="8"/>
      <c r="G741" s="14"/>
      <c r="H741" s="8"/>
      <c r="I741" s="8"/>
      <c r="J741" s="8"/>
      <c r="K741" s="27"/>
      <c r="L741" s="8"/>
      <c r="M741" s="27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27"/>
      <c r="B742" s="27"/>
      <c r="C742" s="27"/>
      <c r="D742" s="27"/>
      <c r="E742" s="8"/>
      <c r="F742" s="8"/>
      <c r="G742" s="14"/>
      <c r="H742" s="8"/>
      <c r="I742" s="8"/>
      <c r="J742" s="8"/>
      <c r="K742" s="27"/>
      <c r="L742" s="8"/>
      <c r="M742" s="27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27"/>
      <c r="B743" s="27"/>
      <c r="C743" s="27"/>
      <c r="D743" s="27"/>
      <c r="E743" s="8"/>
      <c r="F743" s="8"/>
      <c r="G743" s="14"/>
      <c r="H743" s="8"/>
      <c r="I743" s="8"/>
      <c r="J743" s="8"/>
      <c r="K743" s="27"/>
      <c r="L743" s="8"/>
      <c r="M743" s="27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27"/>
      <c r="B744" s="27"/>
      <c r="C744" s="27"/>
      <c r="D744" s="27"/>
      <c r="E744" s="8"/>
      <c r="F744" s="8"/>
      <c r="G744" s="14"/>
      <c r="H744" s="8"/>
      <c r="I744" s="8"/>
      <c r="J744" s="8"/>
      <c r="K744" s="27"/>
      <c r="L744" s="8"/>
      <c r="M744" s="27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27"/>
      <c r="B745" s="27"/>
      <c r="C745" s="27"/>
      <c r="D745" s="27"/>
      <c r="E745" s="8"/>
      <c r="F745" s="8"/>
      <c r="G745" s="14"/>
      <c r="H745" s="8"/>
      <c r="I745" s="8"/>
      <c r="J745" s="8"/>
      <c r="K745" s="27"/>
      <c r="L745" s="8"/>
      <c r="M745" s="27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27"/>
      <c r="B746" s="27"/>
      <c r="C746" s="27"/>
      <c r="D746" s="27"/>
      <c r="E746" s="8"/>
      <c r="F746" s="8"/>
      <c r="G746" s="14"/>
      <c r="H746" s="8"/>
      <c r="I746" s="8"/>
      <c r="J746" s="8"/>
      <c r="K746" s="27"/>
      <c r="L746" s="8"/>
      <c r="M746" s="27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27"/>
      <c r="B747" s="27"/>
      <c r="C747" s="27"/>
      <c r="D747" s="27"/>
      <c r="E747" s="8"/>
      <c r="F747" s="8"/>
      <c r="G747" s="14"/>
      <c r="H747" s="8"/>
      <c r="I747" s="8"/>
      <c r="J747" s="8"/>
      <c r="K747" s="27"/>
      <c r="L747" s="8"/>
      <c r="M747" s="27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27"/>
      <c r="B748" s="27"/>
      <c r="C748" s="27"/>
      <c r="D748" s="27"/>
      <c r="E748" s="8"/>
      <c r="F748" s="8"/>
      <c r="G748" s="14"/>
      <c r="H748" s="8"/>
      <c r="I748" s="8"/>
      <c r="J748" s="8"/>
      <c r="K748" s="27"/>
      <c r="L748" s="8"/>
      <c r="M748" s="27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27"/>
      <c r="B749" s="27"/>
      <c r="C749" s="27"/>
      <c r="D749" s="27"/>
      <c r="E749" s="8"/>
      <c r="F749" s="8"/>
      <c r="G749" s="14"/>
      <c r="H749" s="8"/>
      <c r="I749" s="8"/>
      <c r="J749" s="8"/>
      <c r="K749" s="27"/>
      <c r="L749" s="8"/>
      <c r="M749" s="27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27"/>
      <c r="B750" s="27"/>
      <c r="C750" s="27"/>
      <c r="D750" s="27"/>
      <c r="E750" s="8"/>
      <c r="F750" s="8"/>
      <c r="G750" s="14"/>
      <c r="H750" s="8"/>
      <c r="I750" s="8"/>
      <c r="J750" s="8"/>
      <c r="K750" s="27"/>
      <c r="L750" s="8"/>
      <c r="M750" s="27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27"/>
      <c r="B751" s="27"/>
      <c r="C751" s="27"/>
      <c r="D751" s="27"/>
      <c r="E751" s="8"/>
      <c r="F751" s="8"/>
      <c r="G751" s="14"/>
      <c r="H751" s="8"/>
      <c r="I751" s="8"/>
      <c r="J751" s="8"/>
      <c r="K751" s="27"/>
      <c r="L751" s="8"/>
      <c r="M751" s="27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27"/>
      <c r="B752" s="27"/>
      <c r="C752" s="27"/>
      <c r="D752" s="27"/>
      <c r="E752" s="8"/>
      <c r="F752" s="8"/>
      <c r="G752" s="14"/>
      <c r="H752" s="8"/>
      <c r="I752" s="8"/>
      <c r="J752" s="8"/>
      <c r="K752" s="27"/>
      <c r="L752" s="8"/>
      <c r="M752" s="27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27"/>
      <c r="B753" s="27"/>
      <c r="C753" s="27"/>
      <c r="D753" s="27"/>
      <c r="E753" s="8"/>
      <c r="F753" s="8"/>
      <c r="G753" s="14"/>
      <c r="H753" s="8"/>
      <c r="I753" s="8"/>
      <c r="J753" s="8"/>
      <c r="K753" s="27"/>
      <c r="L753" s="8"/>
      <c r="M753" s="27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27"/>
      <c r="B754" s="27"/>
      <c r="C754" s="27"/>
      <c r="D754" s="27"/>
      <c r="E754" s="8"/>
      <c r="F754" s="8"/>
      <c r="G754" s="14"/>
      <c r="H754" s="8"/>
      <c r="I754" s="8"/>
      <c r="J754" s="8"/>
      <c r="K754" s="27"/>
      <c r="L754" s="8"/>
      <c r="M754" s="27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27"/>
      <c r="B755" s="27"/>
      <c r="C755" s="27"/>
      <c r="D755" s="27"/>
      <c r="E755" s="8"/>
      <c r="F755" s="8"/>
      <c r="G755" s="14"/>
      <c r="H755" s="8"/>
      <c r="I755" s="8"/>
      <c r="J755" s="8"/>
      <c r="K755" s="27"/>
      <c r="L755" s="8"/>
      <c r="M755" s="27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27"/>
      <c r="B756" s="27"/>
      <c r="C756" s="27"/>
      <c r="D756" s="27"/>
      <c r="E756" s="8"/>
      <c r="F756" s="8"/>
      <c r="G756" s="14"/>
      <c r="H756" s="8"/>
      <c r="I756" s="8"/>
      <c r="J756" s="8"/>
      <c r="K756" s="27"/>
      <c r="L756" s="8"/>
      <c r="M756" s="27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27"/>
      <c r="B757" s="27"/>
      <c r="C757" s="27"/>
      <c r="D757" s="27"/>
      <c r="E757" s="8"/>
      <c r="F757" s="8"/>
      <c r="G757" s="14"/>
      <c r="H757" s="8"/>
      <c r="I757" s="8"/>
      <c r="J757" s="8"/>
      <c r="K757" s="27"/>
      <c r="L757" s="8"/>
      <c r="M757" s="27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27"/>
      <c r="B758" s="27"/>
      <c r="C758" s="27"/>
      <c r="D758" s="27"/>
      <c r="E758" s="8"/>
      <c r="F758" s="8"/>
      <c r="G758" s="14"/>
      <c r="H758" s="8"/>
      <c r="I758" s="8"/>
      <c r="J758" s="8"/>
      <c r="K758" s="27"/>
      <c r="L758" s="8"/>
      <c r="M758" s="27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27"/>
      <c r="B759" s="27"/>
      <c r="C759" s="27"/>
      <c r="D759" s="27"/>
      <c r="E759" s="8"/>
      <c r="F759" s="8"/>
      <c r="G759" s="14"/>
      <c r="H759" s="8"/>
      <c r="I759" s="8"/>
      <c r="J759" s="8"/>
      <c r="K759" s="27"/>
      <c r="L759" s="8"/>
      <c r="M759" s="27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27"/>
      <c r="B760" s="27"/>
      <c r="C760" s="27"/>
      <c r="D760" s="27"/>
      <c r="E760" s="8"/>
      <c r="F760" s="8"/>
      <c r="G760" s="14"/>
      <c r="H760" s="8"/>
      <c r="I760" s="8"/>
      <c r="J760" s="8"/>
      <c r="K760" s="27"/>
      <c r="L760" s="8"/>
      <c r="M760" s="27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27"/>
      <c r="B761" s="27"/>
      <c r="C761" s="27"/>
      <c r="D761" s="27"/>
      <c r="E761" s="8"/>
      <c r="F761" s="8"/>
      <c r="G761" s="14"/>
      <c r="H761" s="8"/>
      <c r="I761" s="8"/>
      <c r="J761" s="8"/>
      <c r="K761" s="27"/>
      <c r="L761" s="8"/>
      <c r="M761" s="27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27"/>
      <c r="B762" s="27"/>
      <c r="C762" s="27"/>
      <c r="D762" s="27"/>
      <c r="E762" s="8"/>
      <c r="F762" s="8"/>
      <c r="G762" s="14"/>
      <c r="H762" s="8"/>
      <c r="I762" s="8"/>
      <c r="J762" s="8"/>
      <c r="K762" s="27"/>
      <c r="L762" s="8"/>
      <c r="M762" s="27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27"/>
      <c r="B763" s="27"/>
      <c r="C763" s="27"/>
      <c r="D763" s="27"/>
      <c r="E763" s="8"/>
      <c r="F763" s="8"/>
      <c r="G763" s="14"/>
      <c r="H763" s="8"/>
      <c r="I763" s="8"/>
      <c r="J763" s="8"/>
      <c r="K763" s="27"/>
      <c r="L763" s="8"/>
      <c r="M763" s="27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27"/>
      <c r="B764" s="27"/>
      <c r="C764" s="27"/>
      <c r="D764" s="27"/>
      <c r="E764" s="8"/>
      <c r="F764" s="8"/>
      <c r="G764" s="14"/>
      <c r="H764" s="8"/>
      <c r="I764" s="8"/>
      <c r="J764" s="8"/>
      <c r="K764" s="27"/>
      <c r="L764" s="8"/>
      <c r="M764" s="27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27"/>
      <c r="B765" s="27"/>
      <c r="C765" s="27"/>
      <c r="D765" s="27"/>
      <c r="E765" s="8"/>
      <c r="F765" s="8"/>
      <c r="G765" s="14"/>
      <c r="H765" s="8"/>
      <c r="I765" s="8"/>
      <c r="J765" s="8"/>
      <c r="K765" s="27"/>
      <c r="L765" s="8"/>
      <c r="M765" s="27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27"/>
      <c r="B766" s="27"/>
      <c r="C766" s="27"/>
      <c r="D766" s="27"/>
      <c r="E766" s="8"/>
      <c r="F766" s="8"/>
      <c r="G766" s="14"/>
      <c r="H766" s="8"/>
      <c r="I766" s="8"/>
      <c r="J766" s="8"/>
      <c r="K766" s="27"/>
      <c r="L766" s="8"/>
      <c r="M766" s="27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27"/>
      <c r="B767" s="27"/>
      <c r="C767" s="27"/>
      <c r="D767" s="27"/>
      <c r="E767" s="8"/>
      <c r="F767" s="8"/>
      <c r="G767" s="14"/>
      <c r="H767" s="8"/>
      <c r="I767" s="8"/>
      <c r="J767" s="8"/>
      <c r="K767" s="27"/>
      <c r="L767" s="8"/>
      <c r="M767" s="27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27"/>
      <c r="B768" s="27"/>
      <c r="C768" s="27"/>
      <c r="D768" s="27"/>
      <c r="E768" s="8"/>
      <c r="F768" s="8"/>
      <c r="G768" s="14"/>
      <c r="H768" s="8"/>
      <c r="I768" s="8"/>
      <c r="J768" s="8"/>
      <c r="K768" s="27"/>
      <c r="L768" s="8"/>
      <c r="M768" s="27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27"/>
      <c r="B769" s="27"/>
      <c r="C769" s="27"/>
      <c r="D769" s="27"/>
      <c r="E769" s="8"/>
      <c r="F769" s="8"/>
      <c r="G769" s="14"/>
      <c r="H769" s="8"/>
      <c r="I769" s="8"/>
      <c r="J769" s="8"/>
      <c r="K769" s="27"/>
      <c r="L769" s="8"/>
      <c r="M769" s="27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27"/>
      <c r="B770" s="27"/>
      <c r="C770" s="27"/>
      <c r="D770" s="27"/>
      <c r="E770" s="8"/>
      <c r="F770" s="8"/>
      <c r="G770" s="14"/>
      <c r="H770" s="8"/>
      <c r="I770" s="8"/>
      <c r="J770" s="8"/>
      <c r="K770" s="27"/>
      <c r="L770" s="8"/>
      <c r="M770" s="27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27"/>
      <c r="B771" s="27"/>
      <c r="C771" s="27"/>
      <c r="D771" s="27"/>
      <c r="E771" s="8"/>
      <c r="F771" s="8"/>
      <c r="G771" s="14"/>
      <c r="H771" s="8"/>
      <c r="I771" s="8"/>
      <c r="J771" s="8"/>
      <c r="K771" s="27"/>
      <c r="L771" s="8"/>
      <c r="M771" s="27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27"/>
      <c r="B772" s="27"/>
      <c r="C772" s="27"/>
      <c r="D772" s="27"/>
      <c r="E772" s="8"/>
      <c r="F772" s="8"/>
      <c r="G772" s="14"/>
      <c r="H772" s="8"/>
      <c r="I772" s="8"/>
      <c r="J772" s="8"/>
      <c r="K772" s="27"/>
      <c r="L772" s="8"/>
      <c r="M772" s="27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27"/>
      <c r="B773" s="27"/>
      <c r="C773" s="27"/>
      <c r="D773" s="27"/>
      <c r="E773" s="8"/>
      <c r="F773" s="8"/>
      <c r="G773" s="14"/>
      <c r="H773" s="8"/>
      <c r="I773" s="8"/>
      <c r="J773" s="8"/>
      <c r="K773" s="27"/>
      <c r="L773" s="8"/>
      <c r="M773" s="27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27"/>
      <c r="B774" s="27"/>
      <c r="C774" s="27"/>
      <c r="D774" s="27"/>
      <c r="E774" s="8"/>
      <c r="F774" s="8"/>
      <c r="G774" s="14"/>
      <c r="H774" s="8"/>
      <c r="I774" s="8"/>
      <c r="J774" s="8"/>
      <c r="K774" s="27"/>
      <c r="L774" s="8"/>
      <c r="M774" s="27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27"/>
      <c r="B775" s="27"/>
      <c r="C775" s="27"/>
      <c r="D775" s="27"/>
      <c r="E775" s="8"/>
      <c r="F775" s="8"/>
      <c r="G775" s="14"/>
      <c r="H775" s="8"/>
      <c r="I775" s="8"/>
      <c r="J775" s="8"/>
      <c r="K775" s="27"/>
      <c r="L775" s="8"/>
      <c r="M775" s="27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27"/>
      <c r="B776" s="27"/>
      <c r="C776" s="27"/>
      <c r="D776" s="27"/>
      <c r="E776" s="8"/>
      <c r="F776" s="8"/>
      <c r="G776" s="14"/>
      <c r="H776" s="8"/>
      <c r="I776" s="8"/>
      <c r="J776" s="8"/>
      <c r="K776" s="27"/>
      <c r="L776" s="8"/>
      <c r="M776" s="27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27"/>
      <c r="B777" s="27"/>
      <c r="C777" s="27"/>
      <c r="D777" s="27"/>
      <c r="E777" s="8"/>
      <c r="F777" s="8"/>
      <c r="G777" s="14"/>
      <c r="H777" s="8"/>
      <c r="I777" s="8"/>
      <c r="J777" s="8"/>
      <c r="K777" s="27"/>
      <c r="L777" s="8"/>
      <c r="M777" s="27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27"/>
      <c r="B778" s="27"/>
      <c r="C778" s="27"/>
      <c r="D778" s="27"/>
      <c r="E778" s="8"/>
      <c r="F778" s="8"/>
      <c r="G778" s="14"/>
      <c r="H778" s="8"/>
      <c r="I778" s="8"/>
      <c r="J778" s="8"/>
      <c r="K778" s="27"/>
      <c r="L778" s="8"/>
      <c r="M778" s="27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27"/>
      <c r="B779" s="27"/>
      <c r="C779" s="27"/>
      <c r="D779" s="27"/>
      <c r="E779" s="8"/>
      <c r="F779" s="8"/>
      <c r="G779" s="14"/>
      <c r="H779" s="8"/>
      <c r="I779" s="8"/>
      <c r="J779" s="8"/>
      <c r="K779" s="27"/>
      <c r="L779" s="8"/>
      <c r="M779" s="27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27"/>
      <c r="B780" s="27"/>
      <c r="C780" s="27"/>
      <c r="D780" s="27"/>
      <c r="E780" s="8"/>
      <c r="F780" s="8"/>
      <c r="G780" s="14"/>
      <c r="H780" s="8"/>
      <c r="I780" s="8"/>
      <c r="J780" s="8"/>
      <c r="K780" s="27"/>
      <c r="L780" s="8"/>
      <c r="M780" s="27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27"/>
      <c r="B781" s="27"/>
      <c r="C781" s="27"/>
      <c r="D781" s="27"/>
      <c r="E781" s="8"/>
      <c r="F781" s="8"/>
      <c r="G781" s="14"/>
      <c r="H781" s="8"/>
      <c r="I781" s="8"/>
      <c r="J781" s="8"/>
      <c r="K781" s="27"/>
      <c r="L781" s="8"/>
      <c r="M781" s="27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27"/>
      <c r="B782" s="27"/>
      <c r="C782" s="27"/>
      <c r="D782" s="27"/>
      <c r="E782" s="8"/>
      <c r="F782" s="8"/>
      <c r="G782" s="14"/>
      <c r="H782" s="8"/>
      <c r="I782" s="8"/>
      <c r="J782" s="8"/>
      <c r="K782" s="27"/>
      <c r="L782" s="8"/>
      <c r="M782" s="27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27"/>
      <c r="B783" s="27"/>
      <c r="C783" s="27"/>
      <c r="D783" s="27"/>
      <c r="E783" s="8"/>
      <c r="F783" s="8"/>
      <c r="G783" s="14"/>
      <c r="H783" s="8"/>
      <c r="I783" s="8"/>
      <c r="J783" s="8"/>
      <c r="K783" s="27"/>
      <c r="L783" s="8"/>
      <c r="M783" s="27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27"/>
      <c r="B784" s="27"/>
      <c r="C784" s="27"/>
      <c r="D784" s="27"/>
      <c r="E784" s="8"/>
      <c r="F784" s="8"/>
      <c r="G784" s="14"/>
      <c r="H784" s="8"/>
      <c r="I784" s="8"/>
      <c r="J784" s="8"/>
      <c r="K784" s="27"/>
      <c r="L784" s="8"/>
      <c r="M784" s="27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27"/>
      <c r="B785" s="27"/>
      <c r="C785" s="27"/>
      <c r="D785" s="27"/>
      <c r="E785" s="8"/>
      <c r="F785" s="8"/>
      <c r="G785" s="14"/>
      <c r="H785" s="8"/>
      <c r="I785" s="8"/>
      <c r="J785" s="8"/>
      <c r="K785" s="27"/>
      <c r="L785" s="8"/>
      <c r="M785" s="27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27"/>
      <c r="B786" s="27"/>
      <c r="C786" s="27"/>
      <c r="D786" s="27"/>
      <c r="E786" s="8"/>
      <c r="F786" s="8"/>
      <c r="G786" s="14"/>
      <c r="H786" s="8"/>
      <c r="I786" s="8"/>
      <c r="J786" s="8"/>
      <c r="K786" s="27"/>
      <c r="L786" s="8"/>
      <c r="M786" s="27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27"/>
      <c r="B787" s="27"/>
      <c r="C787" s="27"/>
      <c r="D787" s="27"/>
      <c r="E787" s="8"/>
      <c r="F787" s="8"/>
      <c r="G787" s="14"/>
      <c r="H787" s="8"/>
      <c r="I787" s="8"/>
      <c r="J787" s="8"/>
      <c r="K787" s="27"/>
      <c r="L787" s="8"/>
      <c r="M787" s="27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27"/>
      <c r="B788" s="27"/>
      <c r="C788" s="27"/>
      <c r="D788" s="27"/>
      <c r="E788" s="8"/>
      <c r="F788" s="8"/>
      <c r="G788" s="14"/>
      <c r="H788" s="8"/>
      <c r="I788" s="8"/>
      <c r="J788" s="8"/>
      <c r="K788" s="27"/>
      <c r="L788" s="8"/>
      <c r="M788" s="27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27"/>
      <c r="B789" s="27"/>
      <c r="C789" s="27"/>
      <c r="D789" s="27"/>
      <c r="E789" s="8"/>
      <c r="F789" s="8"/>
      <c r="G789" s="14"/>
      <c r="H789" s="8"/>
      <c r="I789" s="8"/>
      <c r="J789" s="8"/>
      <c r="K789" s="27"/>
      <c r="L789" s="8"/>
      <c r="M789" s="27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27"/>
      <c r="B790" s="27"/>
      <c r="C790" s="27"/>
      <c r="D790" s="27"/>
      <c r="E790" s="8"/>
      <c r="F790" s="8"/>
      <c r="G790" s="14"/>
      <c r="H790" s="8"/>
      <c r="I790" s="8"/>
      <c r="J790" s="8"/>
      <c r="K790" s="27"/>
      <c r="L790" s="8"/>
      <c r="M790" s="27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27"/>
      <c r="B791" s="27"/>
      <c r="C791" s="27"/>
      <c r="D791" s="27"/>
      <c r="E791" s="8"/>
      <c r="F791" s="8"/>
      <c r="G791" s="14"/>
      <c r="H791" s="8"/>
      <c r="I791" s="8"/>
      <c r="J791" s="8"/>
      <c r="K791" s="27"/>
      <c r="L791" s="8"/>
      <c r="M791" s="27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27"/>
      <c r="B792" s="27"/>
      <c r="C792" s="27"/>
      <c r="D792" s="27"/>
      <c r="E792" s="8"/>
      <c r="F792" s="8"/>
      <c r="G792" s="14"/>
      <c r="H792" s="8"/>
      <c r="I792" s="8"/>
      <c r="J792" s="8"/>
      <c r="K792" s="27"/>
      <c r="L792" s="8"/>
      <c r="M792" s="27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27"/>
      <c r="B793" s="27"/>
      <c r="C793" s="27"/>
      <c r="D793" s="27"/>
      <c r="E793" s="8"/>
      <c r="F793" s="8"/>
      <c r="G793" s="14"/>
      <c r="H793" s="8"/>
      <c r="I793" s="8"/>
      <c r="J793" s="8"/>
      <c r="K793" s="27"/>
      <c r="L793" s="8"/>
      <c r="M793" s="27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27"/>
      <c r="B794" s="27"/>
      <c r="C794" s="27"/>
      <c r="D794" s="27"/>
      <c r="E794" s="8"/>
      <c r="F794" s="8"/>
      <c r="G794" s="14"/>
      <c r="H794" s="8"/>
      <c r="I794" s="8"/>
      <c r="J794" s="8"/>
      <c r="K794" s="27"/>
      <c r="L794" s="8"/>
      <c r="M794" s="27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27"/>
      <c r="B795" s="27"/>
      <c r="C795" s="27"/>
      <c r="D795" s="27"/>
      <c r="E795" s="8"/>
      <c r="F795" s="8"/>
      <c r="G795" s="14"/>
      <c r="H795" s="8"/>
      <c r="I795" s="8"/>
      <c r="J795" s="8"/>
      <c r="K795" s="27"/>
      <c r="L795" s="8"/>
      <c r="M795" s="27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27"/>
      <c r="B796" s="27"/>
      <c r="C796" s="27"/>
      <c r="D796" s="27"/>
      <c r="E796" s="8"/>
      <c r="F796" s="8"/>
      <c r="G796" s="14"/>
      <c r="H796" s="8"/>
      <c r="I796" s="8"/>
      <c r="J796" s="8"/>
      <c r="K796" s="27"/>
      <c r="L796" s="8"/>
      <c r="M796" s="27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27"/>
      <c r="B797" s="27"/>
      <c r="C797" s="27"/>
      <c r="D797" s="27"/>
      <c r="E797" s="8"/>
      <c r="F797" s="8"/>
      <c r="G797" s="14"/>
      <c r="H797" s="8"/>
      <c r="I797" s="8"/>
      <c r="J797" s="8"/>
      <c r="K797" s="27"/>
      <c r="L797" s="8"/>
      <c r="M797" s="27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27"/>
      <c r="B798" s="27"/>
      <c r="C798" s="27"/>
      <c r="D798" s="27"/>
      <c r="E798" s="8"/>
      <c r="F798" s="8"/>
      <c r="G798" s="14"/>
      <c r="H798" s="8"/>
      <c r="I798" s="8"/>
      <c r="J798" s="8"/>
      <c r="K798" s="27"/>
      <c r="L798" s="8"/>
      <c r="M798" s="27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27"/>
      <c r="B799" s="27"/>
      <c r="C799" s="27"/>
      <c r="D799" s="27"/>
      <c r="E799" s="8"/>
      <c r="F799" s="8"/>
      <c r="G799" s="14"/>
      <c r="H799" s="8"/>
      <c r="I799" s="8"/>
      <c r="J799" s="8"/>
      <c r="K799" s="27"/>
      <c r="L799" s="8"/>
      <c r="M799" s="27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27"/>
      <c r="B800" s="27"/>
      <c r="C800" s="27"/>
      <c r="D800" s="27"/>
      <c r="E800" s="8"/>
      <c r="F800" s="8"/>
      <c r="G800" s="14"/>
      <c r="H800" s="8"/>
      <c r="I800" s="8"/>
      <c r="J800" s="8"/>
      <c r="K800" s="27"/>
      <c r="L800" s="8"/>
      <c r="M800" s="27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27"/>
      <c r="B801" s="27"/>
      <c r="C801" s="27"/>
      <c r="D801" s="27"/>
      <c r="E801" s="8"/>
      <c r="F801" s="8"/>
      <c r="G801" s="14"/>
      <c r="H801" s="8"/>
      <c r="I801" s="8"/>
      <c r="J801" s="8"/>
      <c r="K801" s="27"/>
      <c r="L801" s="8"/>
      <c r="M801" s="27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27"/>
      <c r="B802" s="27"/>
      <c r="C802" s="27"/>
      <c r="D802" s="27"/>
      <c r="E802" s="8"/>
      <c r="F802" s="8"/>
      <c r="G802" s="14"/>
      <c r="H802" s="8"/>
      <c r="I802" s="8"/>
      <c r="J802" s="8"/>
      <c r="K802" s="27"/>
      <c r="L802" s="8"/>
      <c r="M802" s="27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27"/>
      <c r="B803" s="27"/>
      <c r="C803" s="27"/>
      <c r="D803" s="27"/>
      <c r="E803" s="8"/>
      <c r="F803" s="8"/>
      <c r="G803" s="14"/>
      <c r="H803" s="8"/>
      <c r="I803" s="8"/>
      <c r="J803" s="8"/>
      <c r="K803" s="27"/>
      <c r="L803" s="8"/>
      <c r="M803" s="27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27"/>
      <c r="B804" s="27"/>
      <c r="C804" s="27"/>
      <c r="D804" s="27"/>
      <c r="E804" s="8"/>
      <c r="F804" s="8"/>
      <c r="G804" s="14"/>
      <c r="H804" s="8"/>
      <c r="I804" s="8"/>
      <c r="J804" s="8"/>
      <c r="K804" s="27"/>
      <c r="L804" s="8"/>
      <c r="M804" s="27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27"/>
      <c r="B805" s="27"/>
      <c r="C805" s="27"/>
      <c r="D805" s="27"/>
      <c r="E805" s="8"/>
      <c r="F805" s="8"/>
      <c r="G805" s="14"/>
      <c r="H805" s="8"/>
      <c r="I805" s="8"/>
      <c r="J805" s="8"/>
      <c r="K805" s="27"/>
      <c r="L805" s="8"/>
      <c r="M805" s="27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27"/>
      <c r="B806" s="27"/>
      <c r="C806" s="27"/>
      <c r="D806" s="27"/>
      <c r="E806" s="8"/>
      <c r="F806" s="8"/>
      <c r="G806" s="14"/>
      <c r="H806" s="8"/>
      <c r="I806" s="8"/>
      <c r="J806" s="8"/>
      <c r="K806" s="27"/>
      <c r="L806" s="8"/>
      <c r="M806" s="27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27"/>
      <c r="B807" s="27"/>
      <c r="C807" s="27"/>
      <c r="D807" s="27"/>
      <c r="E807" s="8"/>
      <c r="F807" s="8"/>
      <c r="G807" s="14"/>
      <c r="H807" s="8"/>
      <c r="I807" s="8"/>
      <c r="J807" s="8"/>
      <c r="K807" s="27"/>
      <c r="L807" s="8"/>
      <c r="M807" s="27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27"/>
      <c r="B808" s="27"/>
      <c r="C808" s="27"/>
      <c r="D808" s="27"/>
      <c r="E808" s="8"/>
      <c r="F808" s="8"/>
      <c r="G808" s="14"/>
      <c r="H808" s="8"/>
      <c r="I808" s="8"/>
      <c r="J808" s="8"/>
      <c r="K808" s="27"/>
      <c r="L808" s="8"/>
      <c r="M808" s="27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27"/>
      <c r="B809" s="27"/>
      <c r="C809" s="27"/>
      <c r="D809" s="27"/>
      <c r="E809" s="8"/>
      <c r="F809" s="8"/>
      <c r="G809" s="14"/>
      <c r="H809" s="8"/>
      <c r="I809" s="8"/>
      <c r="J809" s="8"/>
      <c r="K809" s="27"/>
      <c r="L809" s="8"/>
      <c r="M809" s="27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27"/>
      <c r="B810" s="27"/>
      <c r="C810" s="27"/>
      <c r="D810" s="27"/>
      <c r="E810" s="8"/>
      <c r="F810" s="8"/>
      <c r="G810" s="14"/>
      <c r="H810" s="8"/>
      <c r="I810" s="8"/>
      <c r="J810" s="8"/>
      <c r="K810" s="27"/>
      <c r="L810" s="8"/>
      <c r="M810" s="27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27"/>
      <c r="B811" s="27"/>
      <c r="C811" s="27"/>
      <c r="D811" s="27"/>
      <c r="E811" s="8"/>
      <c r="F811" s="8"/>
      <c r="G811" s="14"/>
      <c r="H811" s="8"/>
      <c r="I811" s="8"/>
      <c r="J811" s="8"/>
      <c r="K811" s="27"/>
      <c r="L811" s="8"/>
      <c r="M811" s="27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27"/>
      <c r="B812" s="27"/>
      <c r="C812" s="27"/>
      <c r="D812" s="27"/>
      <c r="E812" s="8"/>
      <c r="F812" s="8"/>
      <c r="G812" s="14"/>
      <c r="H812" s="8"/>
      <c r="I812" s="8"/>
      <c r="J812" s="8"/>
      <c r="K812" s="27"/>
      <c r="L812" s="8"/>
      <c r="M812" s="27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27"/>
      <c r="B813" s="27"/>
      <c r="C813" s="27"/>
      <c r="D813" s="27"/>
      <c r="E813" s="8"/>
      <c r="F813" s="8"/>
      <c r="G813" s="14"/>
      <c r="H813" s="8"/>
      <c r="I813" s="8"/>
      <c r="J813" s="8"/>
      <c r="K813" s="27"/>
      <c r="L813" s="8"/>
      <c r="M813" s="27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27"/>
      <c r="B814" s="27"/>
      <c r="C814" s="27"/>
      <c r="D814" s="27"/>
      <c r="E814" s="8"/>
      <c r="F814" s="8"/>
      <c r="G814" s="14"/>
      <c r="H814" s="8"/>
      <c r="I814" s="8"/>
      <c r="J814" s="8"/>
      <c r="K814" s="27"/>
      <c r="L814" s="8"/>
      <c r="M814" s="27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27"/>
      <c r="B815" s="27"/>
      <c r="C815" s="27"/>
      <c r="D815" s="27"/>
      <c r="E815" s="8"/>
      <c r="F815" s="8"/>
      <c r="G815" s="14"/>
      <c r="H815" s="8"/>
      <c r="I815" s="8"/>
      <c r="J815" s="8"/>
      <c r="K815" s="27"/>
      <c r="L815" s="8"/>
      <c r="M815" s="27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27"/>
      <c r="B816" s="27"/>
      <c r="C816" s="27"/>
      <c r="D816" s="27"/>
      <c r="E816" s="8"/>
      <c r="F816" s="8"/>
      <c r="G816" s="14"/>
      <c r="H816" s="8"/>
      <c r="I816" s="8"/>
      <c r="J816" s="8"/>
      <c r="K816" s="27"/>
      <c r="L816" s="8"/>
      <c r="M816" s="27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27"/>
      <c r="B817" s="27"/>
      <c r="C817" s="27"/>
      <c r="D817" s="27"/>
      <c r="E817" s="8"/>
      <c r="F817" s="8"/>
      <c r="G817" s="14"/>
      <c r="H817" s="8"/>
      <c r="I817" s="8"/>
      <c r="J817" s="8"/>
      <c r="K817" s="27"/>
      <c r="L817" s="8"/>
      <c r="M817" s="27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27"/>
      <c r="B818" s="27"/>
      <c r="C818" s="27"/>
      <c r="D818" s="27"/>
      <c r="E818" s="8"/>
      <c r="F818" s="8"/>
      <c r="G818" s="14"/>
      <c r="H818" s="8"/>
      <c r="I818" s="8"/>
      <c r="J818" s="8"/>
      <c r="K818" s="27"/>
      <c r="L818" s="8"/>
      <c r="M818" s="27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27"/>
      <c r="B819" s="27"/>
      <c r="C819" s="27"/>
      <c r="D819" s="27"/>
      <c r="E819" s="8"/>
      <c r="F819" s="8"/>
      <c r="G819" s="14"/>
      <c r="H819" s="8"/>
      <c r="I819" s="8"/>
      <c r="J819" s="8"/>
      <c r="K819" s="27"/>
      <c r="L819" s="8"/>
      <c r="M819" s="27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27"/>
      <c r="B820" s="27"/>
      <c r="C820" s="27"/>
      <c r="D820" s="27"/>
      <c r="E820" s="8"/>
      <c r="F820" s="8"/>
      <c r="G820" s="14"/>
      <c r="H820" s="8"/>
      <c r="I820" s="8"/>
      <c r="J820" s="8"/>
      <c r="K820" s="27"/>
      <c r="L820" s="8"/>
      <c r="M820" s="27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27"/>
      <c r="B821" s="27"/>
      <c r="C821" s="27"/>
      <c r="D821" s="27"/>
      <c r="E821" s="8"/>
      <c r="F821" s="8"/>
      <c r="G821" s="14"/>
      <c r="H821" s="8"/>
      <c r="I821" s="8"/>
      <c r="J821" s="8"/>
      <c r="K821" s="27"/>
      <c r="L821" s="8"/>
      <c r="M821" s="27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27"/>
      <c r="B822" s="27"/>
      <c r="C822" s="27"/>
      <c r="D822" s="27"/>
      <c r="E822" s="8"/>
      <c r="F822" s="8"/>
      <c r="G822" s="14"/>
      <c r="H822" s="8"/>
      <c r="I822" s="8"/>
      <c r="J822" s="8"/>
      <c r="K822" s="27"/>
      <c r="L822" s="8"/>
      <c r="M822" s="27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27"/>
      <c r="B823" s="27"/>
      <c r="C823" s="27"/>
      <c r="D823" s="27"/>
      <c r="E823" s="8"/>
      <c r="F823" s="8"/>
      <c r="G823" s="14"/>
      <c r="H823" s="8"/>
      <c r="I823" s="8"/>
      <c r="J823" s="8"/>
      <c r="K823" s="27"/>
      <c r="L823" s="8"/>
      <c r="M823" s="27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27"/>
      <c r="B824" s="27"/>
      <c r="C824" s="27"/>
      <c r="D824" s="27"/>
      <c r="E824" s="8"/>
      <c r="F824" s="8"/>
      <c r="G824" s="14"/>
      <c r="H824" s="8"/>
      <c r="I824" s="8"/>
      <c r="J824" s="8"/>
      <c r="K824" s="27"/>
      <c r="L824" s="8"/>
      <c r="M824" s="27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27"/>
      <c r="B825" s="27"/>
      <c r="C825" s="27"/>
      <c r="D825" s="27"/>
      <c r="E825" s="8"/>
      <c r="F825" s="8"/>
      <c r="G825" s="14"/>
      <c r="H825" s="8"/>
      <c r="I825" s="8"/>
      <c r="J825" s="8"/>
      <c r="K825" s="27"/>
      <c r="L825" s="8"/>
      <c r="M825" s="27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27"/>
      <c r="B826" s="27"/>
      <c r="C826" s="27"/>
      <c r="D826" s="27"/>
      <c r="E826" s="8"/>
      <c r="F826" s="8"/>
      <c r="G826" s="14"/>
      <c r="H826" s="8"/>
      <c r="I826" s="8"/>
      <c r="J826" s="8"/>
      <c r="K826" s="27"/>
      <c r="L826" s="8"/>
      <c r="M826" s="27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27"/>
      <c r="B827" s="27"/>
      <c r="C827" s="27"/>
      <c r="D827" s="27"/>
      <c r="E827" s="8"/>
      <c r="F827" s="8"/>
      <c r="G827" s="14"/>
      <c r="H827" s="8"/>
      <c r="I827" s="8"/>
      <c r="J827" s="8"/>
      <c r="K827" s="27"/>
      <c r="L827" s="8"/>
      <c r="M827" s="27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27"/>
      <c r="B828" s="27"/>
      <c r="C828" s="27"/>
      <c r="D828" s="27"/>
      <c r="E828" s="8"/>
      <c r="F828" s="8"/>
      <c r="G828" s="14"/>
      <c r="H828" s="8"/>
      <c r="I828" s="8"/>
      <c r="J828" s="8"/>
      <c r="K828" s="27"/>
      <c r="L828" s="8"/>
      <c r="M828" s="27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27"/>
      <c r="B829" s="27"/>
      <c r="C829" s="27"/>
      <c r="D829" s="27"/>
      <c r="E829" s="8"/>
      <c r="F829" s="8"/>
      <c r="G829" s="14"/>
      <c r="H829" s="8"/>
      <c r="I829" s="8"/>
      <c r="J829" s="8"/>
      <c r="K829" s="27"/>
      <c r="L829" s="8"/>
      <c r="M829" s="27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27"/>
      <c r="B830" s="27"/>
      <c r="C830" s="27"/>
      <c r="D830" s="27"/>
      <c r="E830" s="8"/>
      <c r="F830" s="8"/>
      <c r="G830" s="14"/>
      <c r="H830" s="8"/>
      <c r="I830" s="8"/>
      <c r="J830" s="8"/>
      <c r="K830" s="27"/>
      <c r="L830" s="8"/>
      <c r="M830" s="27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27"/>
      <c r="B831" s="27"/>
      <c r="C831" s="27"/>
      <c r="D831" s="27"/>
      <c r="E831" s="8"/>
      <c r="F831" s="8"/>
      <c r="G831" s="14"/>
      <c r="H831" s="8"/>
      <c r="I831" s="8"/>
      <c r="J831" s="8"/>
      <c r="K831" s="27"/>
      <c r="L831" s="8"/>
      <c r="M831" s="27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27"/>
      <c r="B832" s="27"/>
      <c r="C832" s="27"/>
      <c r="D832" s="27"/>
      <c r="E832" s="8"/>
      <c r="F832" s="8"/>
      <c r="G832" s="14"/>
      <c r="H832" s="8"/>
      <c r="I832" s="8"/>
      <c r="J832" s="8"/>
      <c r="K832" s="27"/>
      <c r="L832" s="8"/>
      <c r="M832" s="27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27"/>
      <c r="B833" s="27"/>
      <c r="C833" s="27"/>
      <c r="D833" s="27"/>
      <c r="E833" s="8"/>
      <c r="F833" s="8"/>
      <c r="G833" s="14"/>
      <c r="H833" s="8"/>
      <c r="I833" s="8"/>
      <c r="J833" s="8"/>
      <c r="K833" s="27"/>
      <c r="L833" s="8"/>
      <c r="M833" s="27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27"/>
      <c r="B834" s="27"/>
      <c r="C834" s="27"/>
      <c r="D834" s="27"/>
      <c r="E834" s="8"/>
      <c r="F834" s="8"/>
      <c r="G834" s="14"/>
      <c r="H834" s="8"/>
      <c r="I834" s="8"/>
      <c r="J834" s="8"/>
      <c r="K834" s="27"/>
      <c r="L834" s="8"/>
      <c r="M834" s="27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27"/>
      <c r="B835" s="27"/>
      <c r="C835" s="27"/>
      <c r="D835" s="27"/>
      <c r="E835" s="8"/>
      <c r="F835" s="8"/>
      <c r="G835" s="14"/>
      <c r="H835" s="8"/>
      <c r="I835" s="8"/>
      <c r="J835" s="8"/>
      <c r="K835" s="27"/>
      <c r="L835" s="8"/>
      <c r="M835" s="27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27"/>
      <c r="B836" s="27"/>
      <c r="C836" s="27"/>
      <c r="D836" s="27"/>
      <c r="E836" s="8"/>
      <c r="F836" s="8"/>
      <c r="G836" s="14"/>
      <c r="H836" s="8"/>
      <c r="I836" s="8"/>
      <c r="J836" s="8"/>
      <c r="K836" s="27"/>
      <c r="L836" s="8"/>
      <c r="M836" s="27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27"/>
      <c r="B837" s="27"/>
      <c r="C837" s="27"/>
      <c r="D837" s="27"/>
      <c r="E837" s="8"/>
      <c r="F837" s="8"/>
      <c r="G837" s="14"/>
      <c r="H837" s="8"/>
      <c r="I837" s="8"/>
      <c r="J837" s="8"/>
      <c r="K837" s="27"/>
      <c r="L837" s="8"/>
      <c r="M837" s="27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27"/>
      <c r="B838" s="27"/>
      <c r="C838" s="27"/>
      <c r="D838" s="27"/>
      <c r="E838" s="8"/>
      <c r="F838" s="8"/>
      <c r="G838" s="14"/>
      <c r="H838" s="8"/>
      <c r="I838" s="8"/>
      <c r="J838" s="8"/>
      <c r="K838" s="27"/>
      <c r="L838" s="8"/>
      <c r="M838" s="27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27"/>
      <c r="B839" s="27"/>
      <c r="C839" s="27"/>
      <c r="D839" s="27"/>
      <c r="E839" s="8"/>
      <c r="F839" s="8"/>
      <c r="G839" s="14"/>
      <c r="H839" s="8"/>
      <c r="I839" s="8"/>
      <c r="J839" s="8"/>
      <c r="K839" s="27"/>
      <c r="L839" s="8"/>
      <c r="M839" s="27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27"/>
      <c r="B840" s="27"/>
      <c r="C840" s="27"/>
      <c r="D840" s="27"/>
      <c r="E840" s="8"/>
      <c r="F840" s="8"/>
      <c r="G840" s="14"/>
      <c r="H840" s="8"/>
      <c r="I840" s="8"/>
      <c r="J840" s="8"/>
      <c r="K840" s="27"/>
      <c r="L840" s="8"/>
      <c r="M840" s="27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27"/>
      <c r="B841" s="27"/>
      <c r="C841" s="27"/>
      <c r="D841" s="27"/>
      <c r="E841" s="8"/>
      <c r="F841" s="8"/>
      <c r="G841" s="14"/>
      <c r="H841" s="8"/>
      <c r="I841" s="8"/>
      <c r="J841" s="8"/>
      <c r="K841" s="27"/>
      <c r="L841" s="8"/>
      <c r="M841" s="27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27"/>
      <c r="B842" s="27"/>
      <c r="C842" s="27"/>
      <c r="D842" s="27"/>
      <c r="E842" s="8"/>
      <c r="F842" s="8"/>
      <c r="G842" s="14"/>
      <c r="H842" s="8"/>
      <c r="I842" s="8"/>
      <c r="J842" s="8"/>
      <c r="K842" s="27"/>
      <c r="L842" s="8"/>
      <c r="M842" s="27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27"/>
      <c r="B843" s="27"/>
      <c r="C843" s="27"/>
      <c r="D843" s="27"/>
      <c r="E843" s="8"/>
      <c r="F843" s="8"/>
      <c r="G843" s="14"/>
      <c r="H843" s="8"/>
      <c r="I843" s="8"/>
      <c r="J843" s="8"/>
      <c r="K843" s="27"/>
      <c r="L843" s="8"/>
      <c r="M843" s="27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27"/>
      <c r="B844" s="27"/>
      <c r="C844" s="27"/>
      <c r="D844" s="27"/>
      <c r="E844" s="8"/>
      <c r="F844" s="8"/>
      <c r="G844" s="14"/>
      <c r="H844" s="8"/>
      <c r="I844" s="8"/>
      <c r="J844" s="8"/>
      <c r="K844" s="27"/>
      <c r="L844" s="8"/>
      <c r="M844" s="27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27"/>
      <c r="B845" s="27"/>
      <c r="C845" s="27"/>
      <c r="D845" s="27"/>
      <c r="E845" s="8"/>
      <c r="F845" s="8"/>
      <c r="G845" s="14"/>
      <c r="H845" s="8"/>
      <c r="I845" s="8"/>
      <c r="J845" s="8"/>
      <c r="K845" s="27"/>
      <c r="L845" s="8"/>
      <c r="M845" s="27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27"/>
      <c r="B846" s="27"/>
      <c r="C846" s="27"/>
      <c r="D846" s="27"/>
      <c r="E846" s="8"/>
      <c r="F846" s="8"/>
      <c r="G846" s="14"/>
      <c r="H846" s="8"/>
      <c r="I846" s="8"/>
      <c r="J846" s="8"/>
      <c r="K846" s="27"/>
      <c r="L846" s="8"/>
      <c r="M846" s="27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27"/>
      <c r="B847" s="27"/>
      <c r="C847" s="27"/>
      <c r="D847" s="27"/>
      <c r="E847" s="8"/>
      <c r="F847" s="8"/>
      <c r="G847" s="14"/>
      <c r="H847" s="8"/>
      <c r="I847" s="8"/>
      <c r="J847" s="8"/>
      <c r="K847" s="27"/>
      <c r="L847" s="8"/>
      <c r="M847" s="27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27"/>
      <c r="B848" s="27"/>
      <c r="C848" s="27"/>
      <c r="D848" s="27"/>
      <c r="E848" s="8"/>
      <c r="F848" s="8"/>
      <c r="G848" s="14"/>
      <c r="H848" s="8"/>
      <c r="I848" s="8"/>
      <c r="J848" s="8"/>
      <c r="K848" s="27"/>
      <c r="L848" s="8"/>
      <c r="M848" s="27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27"/>
      <c r="B849" s="27"/>
      <c r="C849" s="27"/>
      <c r="D849" s="27"/>
      <c r="E849" s="8"/>
      <c r="F849" s="8"/>
      <c r="G849" s="14"/>
      <c r="H849" s="8"/>
      <c r="I849" s="8"/>
      <c r="J849" s="8"/>
      <c r="K849" s="27"/>
      <c r="L849" s="8"/>
      <c r="M849" s="27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27"/>
      <c r="B850" s="27"/>
      <c r="C850" s="27"/>
      <c r="D850" s="27"/>
      <c r="E850" s="8"/>
      <c r="F850" s="8"/>
      <c r="G850" s="14"/>
      <c r="H850" s="8"/>
      <c r="I850" s="8"/>
      <c r="J850" s="8"/>
      <c r="K850" s="27"/>
      <c r="L850" s="8"/>
      <c r="M850" s="27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27"/>
      <c r="B851" s="27"/>
      <c r="C851" s="27"/>
      <c r="D851" s="27"/>
      <c r="E851" s="8"/>
      <c r="F851" s="8"/>
      <c r="G851" s="14"/>
      <c r="H851" s="8"/>
      <c r="I851" s="8"/>
      <c r="J851" s="8"/>
      <c r="K851" s="27"/>
      <c r="L851" s="8"/>
      <c r="M851" s="27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27"/>
      <c r="B852" s="27"/>
      <c r="C852" s="27"/>
      <c r="D852" s="27"/>
      <c r="E852" s="8"/>
      <c r="F852" s="8"/>
      <c r="G852" s="14"/>
      <c r="H852" s="8"/>
      <c r="I852" s="8"/>
      <c r="J852" s="8"/>
      <c r="K852" s="27"/>
      <c r="L852" s="8"/>
      <c r="M852" s="27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27"/>
      <c r="B853" s="27"/>
      <c r="C853" s="27"/>
      <c r="D853" s="27"/>
      <c r="E853" s="8"/>
      <c r="F853" s="8"/>
      <c r="G853" s="14"/>
      <c r="H853" s="8"/>
      <c r="I853" s="8"/>
      <c r="J853" s="8"/>
      <c r="K853" s="27"/>
      <c r="L853" s="8"/>
      <c r="M853" s="27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27"/>
      <c r="B854" s="27"/>
      <c r="C854" s="27"/>
      <c r="D854" s="27"/>
      <c r="E854" s="8"/>
      <c r="F854" s="8"/>
      <c r="G854" s="14"/>
      <c r="H854" s="8"/>
      <c r="I854" s="8"/>
      <c r="J854" s="8"/>
      <c r="K854" s="27"/>
      <c r="L854" s="8"/>
      <c r="M854" s="27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27"/>
      <c r="B855" s="27"/>
      <c r="C855" s="27"/>
      <c r="D855" s="27"/>
      <c r="E855" s="8"/>
      <c r="F855" s="8"/>
      <c r="G855" s="14"/>
      <c r="H855" s="8"/>
      <c r="I855" s="8"/>
      <c r="J855" s="8"/>
      <c r="K855" s="27"/>
      <c r="L855" s="8"/>
      <c r="M855" s="27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27"/>
      <c r="B856" s="27"/>
      <c r="C856" s="27"/>
      <c r="D856" s="27"/>
      <c r="E856" s="8"/>
      <c r="F856" s="8"/>
      <c r="G856" s="14"/>
      <c r="H856" s="8"/>
      <c r="I856" s="8"/>
      <c r="J856" s="8"/>
      <c r="K856" s="27"/>
      <c r="L856" s="8"/>
      <c r="M856" s="27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27"/>
      <c r="B857" s="27"/>
      <c r="C857" s="27"/>
      <c r="D857" s="27"/>
      <c r="E857" s="8"/>
      <c r="F857" s="8"/>
      <c r="G857" s="14"/>
      <c r="H857" s="8"/>
      <c r="I857" s="8"/>
      <c r="J857" s="8"/>
      <c r="K857" s="27"/>
      <c r="L857" s="8"/>
      <c r="M857" s="27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27"/>
      <c r="B858" s="27"/>
      <c r="C858" s="27"/>
      <c r="D858" s="27"/>
      <c r="E858" s="8"/>
      <c r="F858" s="8"/>
      <c r="G858" s="14"/>
      <c r="H858" s="8"/>
      <c r="I858" s="8"/>
      <c r="J858" s="8"/>
      <c r="K858" s="27"/>
      <c r="L858" s="8"/>
      <c r="M858" s="27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27"/>
      <c r="B859" s="27"/>
      <c r="C859" s="27"/>
      <c r="D859" s="27"/>
      <c r="E859" s="8"/>
      <c r="F859" s="8"/>
      <c r="G859" s="14"/>
      <c r="H859" s="8"/>
      <c r="I859" s="8"/>
      <c r="J859" s="8"/>
      <c r="K859" s="27"/>
      <c r="L859" s="8"/>
      <c r="M859" s="27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27"/>
      <c r="B860" s="27"/>
      <c r="C860" s="27"/>
      <c r="D860" s="27"/>
      <c r="E860" s="8"/>
      <c r="F860" s="8"/>
      <c r="G860" s="14"/>
      <c r="H860" s="8"/>
      <c r="I860" s="8"/>
      <c r="J860" s="8"/>
      <c r="K860" s="27"/>
      <c r="L860" s="8"/>
      <c r="M860" s="27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27"/>
      <c r="B861" s="27"/>
      <c r="C861" s="27"/>
      <c r="D861" s="27"/>
      <c r="E861" s="8"/>
      <c r="F861" s="8"/>
      <c r="G861" s="14"/>
      <c r="H861" s="8"/>
      <c r="I861" s="8"/>
      <c r="J861" s="8"/>
      <c r="K861" s="27"/>
      <c r="L861" s="8"/>
      <c r="M861" s="27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27"/>
      <c r="B862" s="27"/>
      <c r="C862" s="27"/>
      <c r="D862" s="27"/>
      <c r="E862" s="8"/>
      <c r="F862" s="8"/>
      <c r="G862" s="14"/>
      <c r="H862" s="8"/>
      <c r="I862" s="8"/>
      <c r="J862" s="8"/>
      <c r="K862" s="27"/>
      <c r="L862" s="8"/>
      <c r="M862" s="27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27"/>
      <c r="B863" s="27"/>
      <c r="C863" s="27"/>
      <c r="D863" s="27"/>
      <c r="E863" s="8"/>
      <c r="F863" s="8"/>
      <c r="G863" s="14"/>
      <c r="H863" s="8"/>
      <c r="I863" s="8"/>
      <c r="J863" s="8"/>
      <c r="K863" s="27"/>
      <c r="L863" s="8"/>
      <c r="M863" s="27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27"/>
      <c r="B864" s="27"/>
      <c r="C864" s="27"/>
      <c r="D864" s="27"/>
      <c r="E864" s="8"/>
      <c r="F864" s="8"/>
      <c r="G864" s="14"/>
      <c r="H864" s="8"/>
      <c r="I864" s="8"/>
      <c r="J864" s="8"/>
      <c r="K864" s="27"/>
      <c r="L864" s="8"/>
      <c r="M864" s="27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27"/>
      <c r="B865" s="27"/>
      <c r="C865" s="27"/>
      <c r="D865" s="27"/>
      <c r="E865" s="8"/>
      <c r="F865" s="8"/>
      <c r="G865" s="14"/>
      <c r="H865" s="8"/>
      <c r="I865" s="8"/>
      <c r="J865" s="8"/>
      <c r="K865" s="27"/>
      <c r="L865" s="8"/>
      <c r="M865" s="27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27"/>
      <c r="B866" s="27"/>
      <c r="C866" s="27"/>
      <c r="D866" s="27"/>
      <c r="E866" s="8"/>
      <c r="F866" s="8"/>
      <c r="G866" s="14"/>
      <c r="H866" s="8"/>
      <c r="I866" s="8"/>
      <c r="J866" s="8"/>
      <c r="K866" s="27"/>
      <c r="L866" s="8"/>
      <c r="M866" s="27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27"/>
      <c r="B867" s="27"/>
      <c r="C867" s="27"/>
      <c r="D867" s="27"/>
      <c r="E867" s="8"/>
      <c r="F867" s="8"/>
      <c r="G867" s="14"/>
      <c r="H867" s="8"/>
      <c r="I867" s="8"/>
      <c r="J867" s="8"/>
      <c r="K867" s="27"/>
      <c r="L867" s="8"/>
      <c r="M867" s="27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27"/>
      <c r="B868" s="27"/>
      <c r="C868" s="27"/>
      <c r="D868" s="27"/>
      <c r="E868" s="8"/>
      <c r="F868" s="8"/>
      <c r="G868" s="14"/>
      <c r="H868" s="8"/>
      <c r="I868" s="8"/>
      <c r="J868" s="8"/>
      <c r="K868" s="27"/>
      <c r="L868" s="8"/>
      <c r="M868" s="27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27"/>
      <c r="B869" s="27"/>
      <c r="C869" s="27"/>
      <c r="D869" s="27"/>
      <c r="E869" s="8"/>
      <c r="F869" s="8"/>
      <c r="G869" s="14"/>
      <c r="H869" s="8"/>
      <c r="I869" s="8"/>
      <c r="J869" s="8"/>
      <c r="K869" s="27"/>
      <c r="L869" s="8"/>
      <c r="M869" s="27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27"/>
      <c r="B870" s="27"/>
      <c r="C870" s="27"/>
      <c r="D870" s="27"/>
      <c r="E870" s="8"/>
      <c r="F870" s="8"/>
      <c r="G870" s="14"/>
      <c r="H870" s="8"/>
      <c r="I870" s="8"/>
      <c r="J870" s="8"/>
      <c r="K870" s="27"/>
      <c r="L870" s="8"/>
      <c r="M870" s="27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27"/>
      <c r="B871" s="27"/>
      <c r="C871" s="27"/>
      <c r="D871" s="27"/>
      <c r="E871" s="8"/>
      <c r="F871" s="8"/>
      <c r="G871" s="14"/>
      <c r="H871" s="8"/>
      <c r="I871" s="8"/>
      <c r="J871" s="8"/>
      <c r="K871" s="27"/>
      <c r="L871" s="8"/>
      <c r="M871" s="27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27"/>
      <c r="B872" s="27"/>
      <c r="C872" s="27"/>
      <c r="D872" s="27"/>
      <c r="E872" s="8"/>
      <c r="F872" s="8"/>
      <c r="G872" s="14"/>
      <c r="H872" s="8"/>
      <c r="I872" s="8"/>
      <c r="J872" s="8"/>
      <c r="K872" s="27"/>
      <c r="L872" s="8"/>
      <c r="M872" s="27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27"/>
      <c r="B873" s="27"/>
      <c r="C873" s="27"/>
      <c r="D873" s="27"/>
      <c r="E873" s="8"/>
      <c r="F873" s="8"/>
      <c r="G873" s="14"/>
      <c r="H873" s="8"/>
      <c r="I873" s="8"/>
      <c r="J873" s="8"/>
      <c r="K873" s="27"/>
      <c r="L873" s="8"/>
      <c r="M873" s="27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27"/>
      <c r="B874" s="27"/>
      <c r="C874" s="27"/>
      <c r="D874" s="27"/>
      <c r="E874" s="8"/>
      <c r="F874" s="8"/>
      <c r="G874" s="14"/>
      <c r="H874" s="8"/>
      <c r="I874" s="8"/>
      <c r="J874" s="8"/>
      <c r="K874" s="27"/>
      <c r="L874" s="8"/>
      <c r="M874" s="27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27"/>
      <c r="B875" s="27"/>
      <c r="C875" s="27"/>
      <c r="D875" s="27"/>
      <c r="E875" s="8"/>
      <c r="F875" s="8"/>
      <c r="G875" s="14"/>
      <c r="H875" s="8"/>
      <c r="I875" s="8"/>
      <c r="J875" s="8"/>
      <c r="K875" s="27"/>
      <c r="L875" s="8"/>
      <c r="M875" s="27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27"/>
      <c r="B876" s="27"/>
      <c r="C876" s="27"/>
      <c r="D876" s="27"/>
      <c r="E876" s="8"/>
      <c r="F876" s="8"/>
      <c r="G876" s="14"/>
      <c r="H876" s="8"/>
      <c r="I876" s="8"/>
      <c r="J876" s="8"/>
      <c r="K876" s="27"/>
      <c r="L876" s="8"/>
      <c r="M876" s="27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27"/>
      <c r="B877" s="27"/>
      <c r="C877" s="27"/>
      <c r="D877" s="27"/>
      <c r="E877" s="8"/>
      <c r="F877" s="8"/>
      <c r="G877" s="14"/>
      <c r="H877" s="8"/>
      <c r="I877" s="8"/>
      <c r="J877" s="8"/>
      <c r="K877" s="27"/>
      <c r="L877" s="8"/>
      <c r="M877" s="27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27"/>
      <c r="B878" s="27"/>
      <c r="C878" s="27"/>
      <c r="D878" s="27"/>
      <c r="E878" s="8"/>
      <c r="F878" s="8"/>
      <c r="G878" s="14"/>
      <c r="H878" s="8"/>
      <c r="I878" s="8"/>
      <c r="J878" s="8"/>
      <c r="K878" s="27"/>
      <c r="L878" s="8"/>
      <c r="M878" s="27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27"/>
      <c r="B879" s="27"/>
      <c r="C879" s="27"/>
      <c r="D879" s="27"/>
      <c r="E879" s="8"/>
      <c r="F879" s="8"/>
      <c r="G879" s="14"/>
      <c r="H879" s="8"/>
      <c r="I879" s="8"/>
      <c r="J879" s="8"/>
      <c r="K879" s="27"/>
      <c r="L879" s="8"/>
      <c r="M879" s="27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27"/>
      <c r="B880" s="27"/>
      <c r="C880" s="27"/>
      <c r="D880" s="27"/>
      <c r="E880" s="8"/>
      <c r="F880" s="8"/>
      <c r="G880" s="14"/>
      <c r="H880" s="8"/>
      <c r="I880" s="8"/>
      <c r="J880" s="8"/>
      <c r="K880" s="27"/>
      <c r="L880" s="8"/>
      <c r="M880" s="27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27"/>
      <c r="B881" s="27"/>
      <c r="C881" s="27"/>
      <c r="D881" s="27"/>
      <c r="E881" s="8"/>
      <c r="F881" s="8"/>
      <c r="G881" s="14"/>
      <c r="H881" s="8"/>
      <c r="I881" s="8"/>
      <c r="J881" s="8"/>
      <c r="K881" s="27"/>
      <c r="L881" s="8"/>
      <c r="M881" s="27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27"/>
      <c r="B882" s="27"/>
      <c r="C882" s="27"/>
      <c r="D882" s="27"/>
      <c r="E882" s="8"/>
      <c r="F882" s="8"/>
      <c r="G882" s="14"/>
      <c r="H882" s="8"/>
      <c r="I882" s="8"/>
      <c r="J882" s="8"/>
      <c r="K882" s="27"/>
      <c r="L882" s="8"/>
      <c r="M882" s="27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27"/>
      <c r="B883" s="27"/>
      <c r="C883" s="27"/>
      <c r="D883" s="27"/>
      <c r="E883" s="8"/>
      <c r="F883" s="8"/>
      <c r="G883" s="14"/>
      <c r="H883" s="8"/>
      <c r="I883" s="8"/>
      <c r="J883" s="8"/>
      <c r="K883" s="27"/>
      <c r="L883" s="8"/>
      <c r="M883" s="27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27"/>
      <c r="B884" s="27"/>
      <c r="C884" s="27"/>
      <c r="D884" s="27"/>
      <c r="E884" s="8"/>
      <c r="F884" s="8"/>
      <c r="G884" s="14"/>
      <c r="H884" s="8"/>
      <c r="I884" s="8"/>
      <c r="J884" s="8"/>
      <c r="K884" s="27"/>
      <c r="L884" s="8"/>
      <c r="M884" s="27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27"/>
      <c r="B885" s="27"/>
      <c r="C885" s="27"/>
      <c r="D885" s="27"/>
      <c r="E885" s="8"/>
      <c r="F885" s="8"/>
      <c r="G885" s="14"/>
      <c r="H885" s="8"/>
      <c r="I885" s="8"/>
      <c r="J885" s="8"/>
      <c r="K885" s="27"/>
      <c r="L885" s="8"/>
      <c r="M885" s="27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27"/>
      <c r="B886" s="27"/>
      <c r="C886" s="27"/>
      <c r="D886" s="27"/>
      <c r="E886" s="8"/>
      <c r="F886" s="8"/>
      <c r="G886" s="14"/>
      <c r="H886" s="8"/>
      <c r="I886" s="8"/>
      <c r="J886" s="8"/>
      <c r="K886" s="27"/>
      <c r="L886" s="8"/>
      <c r="M886" s="27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27"/>
      <c r="B887" s="27"/>
      <c r="C887" s="27"/>
      <c r="D887" s="27"/>
      <c r="E887" s="8"/>
      <c r="F887" s="8"/>
      <c r="G887" s="14"/>
      <c r="H887" s="8"/>
      <c r="I887" s="8"/>
      <c r="J887" s="8"/>
      <c r="K887" s="27"/>
      <c r="L887" s="8"/>
      <c r="M887" s="27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27"/>
      <c r="B888" s="27"/>
      <c r="C888" s="27"/>
      <c r="D888" s="27"/>
      <c r="E888" s="8"/>
      <c r="F888" s="8"/>
      <c r="G888" s="14"/>
      <c r="H888" s="8"/>
      <c r="I888" s="8"/>
      <c r="J888" s="8"/>
      <c r="K888" s="27"/>
      <c r="L888" s="8"/>
      <c r="M888" s="27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27"/>
      <c r="B889" s="27"/>
      <c r="C889" s="27"/>
      <c r="D889" s="27"/>
      <c r="E889" s="8"/>
      <c r="F889" s="8"/>
      <c r="G889" s="14"/>
      <c r="H889" s="8"/>
      <c r="I889" s="8"/>
      <c r="J889" s="8"/>
      <c r="K889" s="27"/>
      <c r="L889" s="8"/>
      <c r="M889" s="27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27"/>
      <c r="B890" s="27"/>
      <c r="C890" s="27"/>
      <c r="D890" s="27"/>
      <c r="E890" s="8"/>
      <c r="F890" s="8"/>
      <c r="G890" s="14"/>
      <c r="H890" s="8"/>
      <c r="I890" s="8"/>
      <c r="J890" s="8"/>
      <c r="K890" s="27"/>
      <c r="L890" s="8"/>
      <c r="M890" s="27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27"/>
      <c r="B891" s="27"/>
      <c r="C891" s="27"/>
      <c r="D891" s="27"/>
      <c r="E891" s="8"/>
      <c r="F891" s="8"/>
      <c r="G891" s="14"/>
      <c r="H891" s="8"/>
      <c r="I891" s="8"/>
      <c r="J891" s="8"/>
      <c r="K891" s="27"/>
      <c r="L891" s="8"/>
      <c r="M891" s="27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27"/>
      <c r="B892" s="27"/>
      <c r="C892" s="27"/>
      <c r="D892" s="27"/>
      <c r="E892" s="8"/>
      <c r="F892" s="8"/>
      <c r="G892" s="14"/>
      <c r="H892" s="8"/>
      <c r="I892" s="8"/>
      <c r="J892" s="8"/>
      <c r="K892" s="27"/>
      <c r="L892" s="8"/>
      <c r="M892" s="27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27"/>
      <c r="B893" s="27"/>
      <c r="C893" s="27"/>
      <c r="D893" s="27"/>
      <c r="E893" s="8"/>
      <c r="F893" s="8"/>
      <c r="G893" s="14"/>
      <c r="H893" s="8"/>
      <c r="I893" s="8"/>
      <c r="J893" s="8"/>
      <c r="K893" s="27"/>
      <c r="L893" s="8"/>
      <c r="M893" s="27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27"/>
      <c r="B894" s="27"/>
      <c r="C894" s="27"/>
      <c r="D894" s="27"/>
      <c r="E894" s="8"/>
      <c r="F894" s="8"/>
      <c r="G894" s="14"/>
      <c r="H894" s="8"/>
      <c r="I894" s="8"/>
      <c r="J894" s="8"/>
      <c r="K894" s="27"/>
      <c r="L894" s="8"/>
      <c r="M894" s="27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27"/>
      <c r="B895" s="27"/>
      <c r="C895" s="27"/>
      <c r="D895" s="27"/>
      <c r="E895" s="8"/>
      <c r="F895" s="8"/>
      <c r="G895" s="14"/>
      <c r="H895" s="8"/>
      <c r="I895" s="8"/>
      <c r="J895" s="8"/>
      <c r="K895" s="27"/>
      <c r="L895" s="8"/>
      <c r="M895" s="27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27"/>
      <c r="B896" s="27"/>
      <c r="C896" s="27"/>
      <c r="D896" s="27"/>
      <c r="E896" s="8"/>
      <c r="F896" s="8"/>
      <c r="G896" s="14"/>
      <c r="H896" s="8"/>
      <c r="I896" s="8"/>
      <c r="J896" s="8"/>
      <c r="K896" s="27"/>
      <c r="L896" s="8"/>
      <c r="M896" s="27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27"/>
      <c r="B897" s="27"/>
      <c r="C897" s="27"/>
      <c r="D897" s="27"/>
      <c r="E897" s="8"/>
      <c r="F897" s="8"/>
      <c r="G897" s="14"/>
      <c r="H897" s="8"/>
      <c r="I897" s="8"/>
      <c r="J897" s="8"/>
      <c r="K897" s="27"/>
      <c r="L897" s="8"/>
      <c r="M897" s="27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27"/>
      <c r="B898" s="27"/>
      <c r="C898" s="27"/>
      <c r="D898" s="27"/>
      <c r="E898" s="8"/>
      <c r="F898" s="8"/>
      <c r="G898" s="14"/>
      <c r="H898" s="8"/>
      <c r="I898" s="8"/>
      <c r="J898" s="8"/>
      <c r="K898" s="27"/>
      <c r="L898" s="8"/>
      <c r="M898" s="27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27"/>
      <c r="B899" s="27"/>
      <c r="C899" s="27"/>
      <c r="D899" s="27"/>
      <c r="E899" s="8"/>
      <c r="F899" s="8"/>
      <c r="G899" s="14"/>
      <c r="H899" s="8"/>
      <c r="I899" s="8"/>
      <c r="J899" s="8"/>
      <c r="K899" s="27"/>
      <c r="L899" s="8"/>
      <c r="M899" s="27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27"/>
      <c r="B900" s="27"/>
      <c r="C900" s="27"/>
      <c r="D900" s="27"/>
      <c r="E900" s="8"/>
      <c r="F900" s="8"/>
      <c r="G900" s="14"/>
      <c r="H900" s="8"/>
      <c r="I900" s="8"/>
      <c r="J900" s="8"/>
      <c r="K900" s="27"/>
      <c r="L900" s="8"/>
      <c r="M900" s="27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27"/>
      <c r="B901" s="27"/>
      <c r="C901" s="27"/>
      <c r="D901" s="27"/>
      <c r="E901" s="8"/>
      <c r="F901" s="8"/>
      <c r="G901" s="14"/>
      <c r="H901" s="8"/>
      <c r="I901" s="8"/>
      <c r="J901" s="8"/>
      <c r="K901" s="27"/>
      <c r="L901" s="8"/>
      <c r="M901" s="27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27"/>
      <c r="B902" s="27"/>
      <c r="C902" s="27"/>
      <c r="D902" s="27"/>
      <c r="E902" s="8"/>
      <c r="F902" s="8"/>
      <c r="G902" s="14"/>
      <c r="H902" s="8"/>
      <c r="I902" s="8"/>
      <c r="J902" s="8"/>
      <c r="K902" s="27"/>
      <c r="L902" s="8"/>
      <c r="M902" s="27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27"/>
      <c r="B903" s="27"/>
      <c r="C903" s="27"/>
      <c r="D903" s="27"/>
      <c r="E903" s="8"/>
      <c r="F903" s="8"/>
      <c r="G903" s="14"/>
      <c r="H903" s="8"/>
      <c r="I903" s="8"/>
      <c r="J903" s="8"/>
      <c r="K903" s="27"/>
      <c r="L903" s="8"/>
      <c r="M903" s="27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27"/>
      <c r="B904" s="27"/>
      <c r="C904" s="27"/>
      <c r="D904" s="27"/>
      <c r="E904" s="8"/>
      <c r="F904" s="8"/>
      <c r="G904" s="14"/>
      <c r="H904" s="8"/>
      <c r="I904" s="8"/>
      <c r="J904" s="8"/>
      <c r="K904" s="27"/>
      <c r="L904" s="8"/>
      <c r="M904" s="27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27"/>
      <c r="B905" s="27"/>
      <c r="C905" s="27"/>
      <c r="D905" s="27"/>
      <c r="E905" s="8"/>
      <c r="F905" s="8"/>
      <c r="G905" s="14"/>
      <c r="H905" s="8"/>
      <c r="I905" s="8"/>
      <c r="J905" s="8"/>
      <c r="K905" s="27"/>
      <c r="L905" s="8"/>
      <c r="M905" s="27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27"/>
      <c r="B906" s="27"/>
      <c r="C906" s="27"/>
      <c r="D906" s="27"/>
      <c r="E906" s="8"/>
      <c r="F906" s="8"/>
      <c r="G906" s="14"/>
      <c r="H906" s="8"/>
      <c r="I906" s="8"/>
      <c r="J906" s="8"/>
      <c r="K906" s="27"/>
      <c r="L906" s="8"/>
      <c r="M906" s="27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27"/>
      <c r="B907" s="27"/>
      <c r="C907" s="27"/>
      <c r="D907" s="27"/>
      <c r="E907" s="8"/>
      <c r="F907" s="8"/>
      <c r="G907" s="14"/>
      <c r="H907" s="8"/>
      <c r="I907" s="8"/>
      <c r="J907" s="8"/>
      <c r="K907" s="27"/>
      <c r="L907" s="8"/>
      <c r="M907" s="27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27"/>
      <c r="B908" s="27"/>
      <c r="C908" s="27"/>
      <c r="D908" s="27"/>
      <c r="E908" s="8"/>
      <c r="F908" s="8"/>
      <c r="G908" s="14"/>
      <c r="H908" s="8"/>
      <c r="I908" s="8"/>
      <c r="J908" s="8"/>
      <c r="K908" s="27"/>
      <c r="L908" s="8"/>
      <c r="M908" s="27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27"/>
      <c r="B909" s="27"/>
      <c r="C909" s="27"/>
      <c r="D909" s="27"/>
      <c r="E909" s="8"/>
      <c r="F909" s="8"/>
      <c r="G909" s="14"/>
      <c r="H909" s="8"/>
      <c r="I909" s="8"/>
      <c r="J909" s="8"/>
      <c r="K909" s="27"/>
      <c r="L909" s="8"/>
      <c r="M909" s="27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27"/>
      <c r="B910" s="27"/>
      <c r="C910" s="27"/>
      <c r="D910" s="27"/>
      <c r="E910" s="8"/>
      <c r="F910" s="8"/>
      <c r="G910" s="14"/>
      <c r="H910" s="8"/>
      <c r="I910" s="8"/>
      <c r="J910" s="8"/>
      <c r="K910" s="27"/>
      <c r="L910" s="8"/>
      <c r="M910" s="27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27"/>
      <c r="B911" s="27"/>
      <c r="C911" s="27"/>
      <c r="D911" s="27"/>
      <c r="E911" s="8"/>
      <c r="F911" s="8"/>
      <c r="G911" s="14"/>
      <c r="H911" s="8"/>
      <c r="I911" s="8"/>
      <c r="J911" s="8"/>
      <c r="K911" s="27"/>
      <c r="L911" s="8"/>
      <c r="M911" s="27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27"/>
      <c r="B912" s="27"/>
      <c r="C912" s="27"/>
      <c r="D912" s="27"/>
      <c r="E912" s="8"/>
      <c r="F912" s="8"/>
      <c r="G912" s="14"/>
      <c r="H912" s="8"/>
      <c r="I912" s="8"/>
      <c r="J912" s="8"/>
      <c r="K912" s="27"/>
      <c r="L912" s="8"/>
      <c r="M912" s="27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27"/>
      <c r="B913" s="27"/>
      <c r="C913" s="27"/>
      <c r="D913" s="27"/>
      <c r="E913" s="8"/>
      <c r="F913" s="8"/>
      <c r="G913" s="14"/>
      <c r="H913" s="8"/>
      <c r="I913" s="8"/>
      <c r="J913" s="8"/>
      <c r="K913" s="27"/>
      <c r="L913" s="8"/>
      <c r="M913" s="27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27"/>
      <c r="B914" s="27"/>
      <c r="C914" s="27"/>
      <c r="D914" s="27"/>
      <c r="E914" s="8"/>
      <c r="F914" s="8"/>
      <c r="G914" s="14"/>
      <c r="H914" s="8"/>
      <c r="I914" s="8"/>
      <c r="J914" s="8"/>
      <c r="K914" s="27"/>
      <c r="L914" s="8"/>
      <c r="M914" s="27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27"/>
      <c r="B915" s="27"/>
      <c r="C915" s="27"/>
      <c r="D915" s="27"/>
      <c r="E915" s="8"/>
      <c r="F915" s="8"/>
      <c r="G915" s="14"/>
      <c r="H915" s="8"/>
      <c r="I915" s="8"/>
      <c r="J915" s="8"/>
      <c r="K915" s="27"/>
      <c r="L915" s="8"/>
      <c r="M915" s="27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27"/>
      <c r="B916" s="27"/>
      <c r="C916" s="27"/>
      <c r="D916" s="27"/>
      <c r="E916" s="8"/>
      <c r="F916" s="8"/>
      <c r="G916" s="14"/>
      <c r="H916" s="8"/>
      <c r="I916" s="8"/>
      <c r="J916" s="8"/>
      <c r="K916" s="27"/>
      <c r="L916" s="8"/>
      <c r="M916" s="27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27"/>
      <c r="B917" s="27"/>
      <c r="C917" s="27"/>
      <c r="D917" s="27"/>
      <c r="E917" s="8"/>
      <c r="F917" s="8"/>
      <c r="G917" s="14"/>
      <c r="H917" s="8"/>
      <c r="I917" s="8"/>
      <c r="J917" s="8"/>
      <c r="K917" s="27"/>
      <c r="L917" s="8"/>
      <c r="M917" s="27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27"/>
      <c r="B918" s="27"/>
      <c r="C918" s="27"/>
      <c r="D918" s="27"/>
      <c r="E918" s="8"/>
      <c r="F918" s="8"/>
      <c r="G918" s="14"/>
      <c r="H918" s="8"/>
      <c r="I918" s="8"/>
      <c r="J918" s="8"/>
      <c r="K918" s="27"/>
      <c r="L918" s="8"/>
      <c r="M918" s="27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27"/>
      <c r="B919" s="27"/>
      <c r="C919" s="27"/>
      <c r="D919" s="27"/>
      <c r="E919" s="8"/>
      <c r="F919" s="8"/>
      <c r="G919" s="14"/>
      <c r="H919" s="8"/>
      <c r="I919" s="8"/>
      <c r="J919" s="8"/>
      <c r="K919" s="27"/>
      <c r="L919" s="8"/>
      <c r="M919" s="27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27"/>
      <c r="B920" s="27"/>
      <c r="C920" s="27"/>
      <c r="D920" s="27"/>
      <c r="E920" s="8"/>
      <c r="F920" s="8"/>
      <c r="G920" s="14"/>
      <c r="H920" s="8"/>
      <c r="I920" s="8"/>
      <c r="J920" s="8"/>
      <c r="K920" s="27"/>
      <c r="L920" s="8"/>
      <c r="M920" s="27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27"/>
      <c r="B921" s="27"/>
      <c r="C921" s="27"/>
      <c r="D921" s="27"/>
      <c r="E921" s="8"/>
      <c r="F921" s="8"/>
      <c r="G921" s="14"/>
      <c r="H921" s="8"/>
      <c r="I921" s="8"/>
      <c r="J921" s="8"/>
      <c r="K921" s="27"/>
      <c r="L921" s="8"/>
      <c r="M921" s="27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27"/>
      <c r="B922" s="27"/>
      <c r="C922" s="27"/>
      <c r="D922" s="27"/>
      <c r="E922" s="8"/>
      <c r="F922" s="8"/>
      <c r="G922" s="14"/>
      <c r="H922" s="8"/>
      <c r="I922" s="8"/>
      <c r="J922" s="8"/>
      <c r="K922" s="27"/>
      <c r="L922" s="8"/>
      <c r="M922" s="27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27"/>
      <c r="B923" s="27"/>
      <c r="C923" s="27"/>
      <c r="D923" s="27"/>
      <c r="E923" s="8"/>
      <c r="F923" s="8"/>
      <c r="G923" s="14"/>
      <c r="H923" s="8"/>
      <c r="I923" s="8"/>
      <c r="J923" s="8"/>
      <c r="K923" s="27"/>
      <c r="L923" s="8"/>
      <c r="M923" s="27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27"/>
      <c r="B924" s="27"/>
      <c r="C924" s="27"/>
      <c r="D924" s="27"/>
      <c r="E924" s="8"/>
      <c r="F924" s="8"/>
      <c r="G924" s="14"/>
      <c r="H924" s="8"/>
      <c r="I924" s="8"/>
      <c r="J924" s="8"/>
      <c r="K924" s="27"/>
      <c r="L924" s="8"/>
      <c r="M924" s="27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27"/>
      <c r="B925" s="27"/>
      <c r="C925" s="27"/>
      <c r="D925" s="27"/>
      <c r="E925" s="8"/>
      <c r="F925" s="8"/>
      <c r="G925" s="14"/>
      <c r="H925" s="8"/>
      <c r="I925" s="8"/>
      <c r="J925" s="8"/>
      <c r="K925" s="27"/>
      <c r="L925" s="8"/>
      <c r="M925" s="27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27"/>
      <c r="B926" s="27"/>
      <c r="C926" s="27"/>
      <c r="D926" s="27"/>
      <c r="E926" s="8"/>
      <c r="F926" s="8"/>
      <c r="G926" s="14"/>
      <c r="H926" s="8"/>
      <c r="I926" s="8"/>
      <c r="J926" s="8"/>
      <c r="K926" s="27"/>
      <c r="L926" s="8"/>
      <c r="M926" s="27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27"/>
      <c r="B927" s="27"/>
      <c r="C927" s="27"/>
      <c r="D927" s="27"/>
      <c r="E927" s="8"/>
      <c r="F927" s="8"/>
      <c r="G927" s="14"/>
      <c r="H927" s="8"/>
      <c r="I927" s="8"/>
      <c r="J927" s="8"/>
      <c r="K927" s="27"/>
      <c r="L927" s="8"/>
      <c r="M927" s="27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27"/>
      <c r="B928" s="27"/>
      <c r="C928" s="27"/>
      <c r="D928" s="27"/>
      <c r="E928" s="8"/>
      <c r="F928" s="8"/>
      <c r="G928" s="14"/>
      <c r="H928" s="8"/>
      <c r="I928" s="8"/>
      <c r="J928" s="8"/>
      <c r="K928" s="27"/>
      <c r="L928" s="8"/>
      <c r="M928" s="27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27"/>
      <c r="B929" s="27"/>
      <c r="C929" s="27"/>
      <c r="D929" s="27"/>
      <c r="E929" s="8"/>
      <c r="F929" s="8"/>
      <c r="G929" s="14"/>
      <c r="H929" s="8"/>
      <c r="I929" s="8"/>
      <c r="J929" s="8"/>
      <c r="K929" s="27"/>
      <c r="L929" s="8"/>
      <c r="M929" s="27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27"/>
      <c r="B930" s="27"/>
      <c r="C930" s="27"/>
      <c r="D930" s="27"/>
      <c r="E930" s="8"/>
      <c r="F930" s="8"/>
      <c r="G930" s="14"/>
      <c r="H930" s="8"/>
      <c r="I930" s="8"/>
      <c r="J930" s="8"/>
      <c r="K930" s="27"/>
      <c r="L930" s="8"/>
      <c r="M930" s="27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27"/>
      <c r="B931" s="27"/>
      <c r="C931" s="27"/>
      <c r="D931" s="27"/>
      <c r="E931" s="8"/>
      <c r="F931" s="8"/>
      <c r="G931" s="14"/>
      <c r="H931" s="8"/>
      <c r="I931" s="8"/>
      <c r="J931" s="8"/>
      <c r="K931" s="27"/>
      <c r="L931" s="8"/>
      <c r="M931" s="27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27"/>
      <c r="B932" s="27"/>
      <c r="C932" s="27"/>
      <c r="D932" s="27"/>
      <c r="E932" s="8"/>
      <c r="F932" s="8"/>
      <c r="G932" s="14"/>
      <c r="H932" s="8"/>
      <c r="I932" s="8"/>
      <c r="J932" s="8"/>
      <c r="K932" s="27"/>
      <c r="L932" s="8"/>
      <c r="M932" s="27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27"/>
      <c r="B933" s="27"/>
      <c r="C933" s="27"/>
      <c r="D933" s="27"/>
      <c r="E933" s="8"/>
      <c r="F933" s="8"/>
      <c r="G933" s="14"/>
      <c r="H933" s="8"/>
      <c r="I933" s="8"/>
      <c r="J933" s="8"/>
      <c r="K933" s="27"/>
      <c r="L933" s="8"/>
      <c r="M933" s="27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27"/>
      <c r="B934" s="27"/>
      <c r="C934" s="27"/>
      <c r="D934" s="27"/>
      <c r="E934" s="8"/>
      <c r="F934" s="8"/>
      <c r="G934" s="14"/>
      <c r="H934" s="8"/>
      <c r="I934" s="8"/>
      <c r="J934" s="8"/>
      <c r="K934" s="27"/>
      <c r="L934" s="8"/>
      <c r="M934" s="27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27"/>
      <c r="B935" s="27"/>
      <c r="C935" s="27"/>
      <c r="D935" s="27"/>
      <c r="E935" s="8"/>
      <c r="F935" s="8"/>
      <c r="G935" s="14"/>
      <c r="H935" s="8"/>
      <c r="I935" s="8"/>
      <c r="J935" s="8"/>
      <c r="K935" s="27"/>
      <c r="L935" s="8"/>
      <c r="M935" s="27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27"/>
      <c r="B936" s="27"/>
      <c r="C936" s="27"/>
      <c r="D936" s="27"/>
      <c r="E936" s="8"/>
      <c r="F936" s="8"/>
      <c r="G936" s="14"/>
      <c r="H936" s="8"/>
      <c r="I936" s="8"/>
      <c r="J936" s="8"/>
      <c r="K936" s="27"/>
      <c r="L936" s="8"/>
      <c r="M936" s="27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27"/>
      <c r="B937" s="27"/>
      <c r="C937" s="27"/>
      <c r="D937" s="27"/>
      <c r="E937" s="8"/>
      <c r="F937" s="8"/>
      <c r="G937" s="14"/>
      <c r="H937" s="8"/>
      <c r="I937" s="8"/>
      <c r="J937" s="8"/>
      <c r="K937" s="27"/>
      <c r="L937" s="8"/>
      <c r="M937" s="27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27"/>
      <c r="B938" s="27"/>
      <c r="C938" s="27"/>
      <c r="D938" s="27"/>
      <c r="E938" s="8"/>
      <c r="F938" s="8"/>
      <c r="G938" s="14"/>
      <c r="H938" s="8"/>
      <c r="I938" s="8"/>
      <c r="J938" s="8"/>
      <c r="K938" s="27"/>
      <c r="L938" s="8"/>
      <c r="M938" s="27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27"/>
      <c r="B939" s="27"/>
      <c r="C939" s="27"/>
      <c r="D939" s="27"/>
      <c r="E939" s="8"/>
      <c r="F939" s="8"/>
      <c r="G939" s="14"/>
      <c r="H939" s="8"/>
      <c r="I939" s="8"/>
      <c r="J939" s="8"/>
      <c r="K939" s="27"/>
      <c r="L939" s="8"/>
      <c r="M939" s="27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27"/>
      <c r="B940" s="27"/>
      <c r="C940" s="27"/>
      <c r="D940" s="27"/>
      <c r="E940" s="8"/>
      <c r="F940" s="8"/>
      <c r="G940" s="14"/>
      <c r="H940" s="8"/>
      <c r="I940" s="8"/>
      <c r="J940" s="8"/>
      <c r="K940" s="27"/>
      <c r="L940" s="8"/>
      <c r="M940" s="27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27"/>
      <c r="B941" s="27"/>
      <c r="C941" s="27"/>
      <c r="D941" s="27"/>
      <c r="E941" s="8"/>
      <c r="F941" s="8"/>
      <c r="G941" s="14"/>
      <c r="H941" s="8"/>
      <c r="I941" s="8"/>
      <c r="J941" s="8"/>
      <c r="K941" s="27"/>
      <c r="L941" s="8"/>
      <c r="M941" s="27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27"/>
      <c r="B942" s="27"/>
      <c r="C942" s="27"/>
      <c r="D942" s="27"/>
      <c r="E942" s="8"/>
      <c r="F942" s="8"/>
      <c r="G942" s="14"/>
      <c r="H942" s="8"/>
      <c r="I942" s="8"/>
      <c r="J942" s="8"/>
      <c r="K942" s="27"/>
      <c r="L942" s="8"/>
      <c r="M942" s="27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27"/>
      <c r="B943" s="27"/>
      <c r="C943" s="27"/>
      <c r="D943" s="27"/>
      <c r="E943" s="8"/>
      <c r="F943" s="8"/>
      <c r="G943" s="14"/>
      <c r="H943" s="8"/>
      <c r="I943" s="8"/>
      <c r="J943" s="8"/>
      <c r="K943" s="27"/>
      <c r="L943" s="8"/>
      <c r="M943" s="27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27"/>
      <c r="B944" s="27"/>
      <c r="C944" s="27"/>
      <c r="D944" s="27"/>
      <c r="E944" s="8"/>
      <c r="F944" s="8"/>
      <c r="G944" s="14"/>
      <c r="H944" s="8"/>
      <c r="I944" s="8"/>
      <c r="J944" s="8"/>
      <c r="K944" s="27"/>
      <c r="L944" s="8"/>
      <c r="M944" s="27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27"/>
      <c r="B945" s="27"/>
      <c r="C945" s="27"/>
      <c r="D945" s="27"/>
      <c r="E945" s="8"/>
      <c r="F945" s="8"/>
      <c r="G945" s="14"/>
      <c r="H945" s="8"/>
      <c r="I945" s="8"/>
      <c r="J945" s="8"/>
      <c r="K945" s="27"/>
      <c r="L945" s="8"/>
      <c r="M945" s="27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27"/>
      <c r="B946" s="27"/>
      <c r="C946" s="27"/>
      <c r="D946" s="27"/>
      <c r="E946" s="8"/>
      <c r="F946" s="8"/>
      <c r="G946" s="14"/>
      <c r="H946" s="8"/>
      <c r="I946" s="8"/>
      <c r="J946" s="8"/>
      <c r="K946" s="27"/>
      <c r="L946" s="8"/>
      <c r="M946" s="27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27"/>
      <c r="B947" s="27"/>
      <c r="C947" s="27"/>
      <c r="D947" s="27"/>
      <c r="E947" s="8"/>
      <c r="F947" s="8"/>
      <c r="G947" s="14"/>
      <c r="H947" s="8"/>
      <c r="I947" s="8"/>
      <c r="J947" s="8"/>
      <c r="K947" s="27"/>
      <c r="L947" s="8"/>
      <c r="M947" s="27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27"/>
      <c r="B948" s="27"/>
      <c r="C948" s="27"/>
      <c r="D948" s="27"/>
      <c r="E948" s="8"/>
      <c r="F948" s="8"/>
      <c r="G948" s="14"/>
      <c r="H948" s="8"/>
      <c r="I948" s="8"/>
      <c r="J948" s="8"/>
      <c r="K948" s="27"/>
      <c r="L948" s="8"/>
      <c r="M948" s="27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27"/>
      <c r="B949" s="27"/>
      <c r="C949" s="27"/>
      <c r="D949" s="27"/>
      <c r="E949" s="8"/>
      <c r="F949" s="8"/>
      <c r="G949" s="14"/>
      <c r="H949" s="8"/>
      <c r="I949" s="8"/>
      <c r="J949" s="8"/>
      <c r="K949" s="27"/>
      <c r="L949" s="8"/>
      <c r="M949" s="27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27"/>
      <c r="B950" s="27"/>
      <c r="C950" s="27"/>
      <c r="D950" s="27"/>
      <c r="E950" s="8"/>
      <c r="F950" s="8"/>
      <c r="G950" s="14"/>
      <c r="H950" s="8"/>
      <c r="I950" s="8"/>
      <c r="J950" s="8"/>
      <c r="K950" s="27"/>
      <c r="L950" s="8"/>
      <c r="M950" s="27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27"/>
      <c r="B951" s="27"/>
      <c r="C951" s="27"/>
      <c r="D951" s="27"/>
      <c r="E951" s="8"/>
      <c r="F951" s="8"/>
      <c r="G951" s="14"/>
      <c r="H951" s="8"/>
      <c r="I951" s="8"/>
      <c r="J951" s="8"/>
      <c r="K951" s="27"/>
      <c r="L951" s="8"/>
      <c r="M951" s="27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27"/>
      <c r="B952" s="27"/>
      <c r="C952" s="27"/>
      <c r="D952" s="27"/>
      <c r="E952" s="8"/>
      <c r="F952" s="8"/>
      <c r="G952" s="14"/>
      <c r="H952" s="8"/>
      <c r="I952" s="8"/>
      <c r="J952" s="8"/>
      <c r="K952" s="27"/>
      <c r="L952" s="8"/>
      <c r="M952" s="27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27"/>
      <c r="B953" s="27"/>
      <c r="C953" s="27"/>
      <c r="D953" s="27"/>
      <c r="E953" s="8"/>
      <c r="F953" s="8"/>
      <c r="G953" s="14"/>
      <c r="H953" s="8"/>
      <c r="I953" s="8"/>
      <c r="J953" s="8"/>
      <c r="K953" s="27"/>
      <c r="L953" s="8"/>
      <c r="M953" s="27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27"/>
      <c r="B954" s="27"/>
      <c r="C954" s="27"/>
      <c r="D954" s="27"/>
      <c r="E954" s="8"/>
      <c r="F954" s="8"/>
      <c r="G954" s="14"/>
      <c r="H954" s="8"/>
      <c r="I954" s="8"/>
      <c r="J954" s="8"/>
      <c r="K954" s="27"/>
      <c r="L954" s="8"/>
      <c r="M954" s="27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27"/>
      <c r="B955" s="27"/>
      <c r="C955" s="27"/>
      <c r="D955" s="27"/>
      <c r="E955" s="8"/>
      <c r="F955" s="8"/>
      <c r="G955" s="14"/>
      <c r="H955" s="8"/>
      <c r="I955" s="8"/>
      <c r="J955" s="8"/>
      <c r="K955" s="27"/>
      <c r="L955" s="8"/>
      <c r="M955" s="27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27"/>
      <c r="B956" s="27"/>
      <c r="C956" s="27"/>
      <c r="D956" s="27"/>
      <c r="E956" s="8"/>
      <c r="F956" s="8"/>
      <c r="G956" s="14"/>
      <c r="H956" s="8"/>
      <c r="I956" s="8"/>
      <c r="J956" s="8"/>
      <c r="K956" s="27"/>
      <c r="L956" s="8"/>
      <c r="M956" s="27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27"/>
      <c r="B957" s="27"/>
      <c r="C957" s="27"/>
      <c r="D957" s="27"/>
      <c r="E957" s="8"/>
      <c r="F957" s="8"/>
      <c r="G957" s="14"/>
      <c r="H957" s="8"/>
      <c r="I957" s="8"/>
      <c r="J957" s="8"/>
      <c r="K957" s="27"/>
      <c r="L957" s="8"/>
      <c r="M957" s="27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27"/>
      <c r="B958" s="27"/>
      <c r="C958" s="27"/>
      <c r="D958" s="27"/>
      <c r="E958" s="8"/>
      <c r="F958" s="8"/>
      <c r="G958" s="14"/>
      <c r="H958" s="8"/>
      <c r="I958" s="8"/>
      <c r="J958" s="8"/>
      <c r="K958" s="27"/>
      <c r="L958" s="8"/>
      <c r="M958" s="27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27"/>
      <c r="B959" s="27"/>
      <c r="C959" s="27"/>
      <c r="D959" s="27"/>
      <c r="E959" s="8"/>
      <c r="F959" s="8"/>
      <c r="G959" s="14"/>
      <c r="H959" s="8"/>
      <c r="I959" s="8"/>
      <c r="J959" s="8"/>
      <c r="K959" s="27"/>
      <c r="L959" s="8"/>
      <c r="M959" s="27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27"/>
      <c r="B960" s="27"/>
      <c r="C960" s="27"/>
      <c r="D960" s="27"/>
      <c r="E960" s="8"/>
      <c r="F960" s="8"/>
      <c r="G960" s="14"/>
      <c r="H960" s="8"/>
      <c r="I960" s="8"/>
      <c r="J960" s="8"/>
      <c r="K960" s="27"/>
      <c r="L960" s="8"/>
      <c r="M960" s="27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27"/>
      <c r="B961" s="27"/>
      <c r="C961" s="27"/>
      <c r="D961" s="27"/>
      <c r="E961" s="8"/>
      <c r="F961" s="8"/>
      <c r="G961" s="14"/>
      <c r="H961" s="8"/>
      <c r="I961" s="8"/>
      <c r="J961" s="8"/>
      <c r="K961" s="27"/>
      <c r="L961" s="8"/>
      <c r="M961" s="27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27"/>
      <c r="B962" s="27"/>
      <c r="C962" s="27"/>
      <c r="D962" s="27"/>
      <c r="E962" s="8"/>
      <c r="F962" s="8"/>
      <c r="G962" s="14"/>
      <c r="H962" s="8"/>
      <c r="I962" s="8"/>
      <c r="J962" s="8"/>
      <c r="K962" s="27"/>
      <c r="L962" s="8"/>
      <c r="M962" s="27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27"/>
      <c r="B963" s="27"/>
      <c r="C963" s="27"/>
      <c r="D963" s="27"/>
      <c r="E963" s="8"/>
      <c r="F963" s="8"/>
      <c r="G963" s="14"/>
      <c r="H963" s="8"/>
      <c r="I963" s="8"/>
      <c r="J963" s="8"/>
      <c r="K963" s="27"/>
      <c r="L963" s="8"/>
      <c r="M963" s="27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27"/>
      <c r="B964" s="27"/>
      <c r="C964" s="27"/>
      <c r="D964" s="27"/>
      <c r="E964" s="8"/>
      <c r="F964" s="8"/>
      <c r="G964" s="14"/>
      <c r="H964" s="8"/>
      <c r="I964" s="8"/>
      <c r="J964" s="8"/>
      <c r="K964" s="27"/>
      <c r="L964" s="8"/>
      <c r="M964" s="27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27"/>
      <c r="B965" s="27"/>
      <c r="C965" s="27"/>
      <c r="D965" s="27"/>
      <c r="E965" s="8"/>
      <c r="F965" s="8"/>
      <c r="G965" s="14"/>
      <c r="H965" s="8"/>
      <c r="I965" s="8"/>
      <c r="J965" s="8"/>
      <c r="K965" s="27"/>
      <c r="L965" s="8"/>
      <c r="M965" s="27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27"/>
      <c r="B966" s="27"/>
      <c r="C966" s="27"/>
      <c r="D966" s="27"/>
      <c r="E966" s="8"/>
      <c r="F966" s="8"/>
      <c r="G966" s="14"/>
      <c r="H966" s="8"/>
      <c r="I966" s="8"/>
      <c r="J966" s="8"/>
      <c r="K966" s="27"/>
      <c r="L966" s="8"/>
      <c r="M966" s="27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27"/>
      <c r="B967" s="27"/>
      <c r="C967" s="27"/>
      <c r="D967" s="27"/>
      <c r="E967" s="8"/>
      <c r="F967" s="8"/>
      <c r="G967" s="14"/>
      <c r="H967" s="8"/>
      <c r="I967" s="8"/>
      <c r="J967" s="8"/>
      <c r="K967" s="27"/>
      <c r="L967" s="8"/>
      <c r="M967" s="27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27"/>
      <c r="B968" s="27"/>
      <c r="C968" s="27"/>
      <c r="D968" s="27"/>
      <c r="E968" s="8"/>
      <c r="F968" s="8"/>
      <c r="G968" s="14"/>
      <c r="H968" s="8"/>
      <c r="I968" s="8"/>
      <c r="J968" s="8"/>
      <c r="K968" s="27"/>
      <c r="L968" s="8"/>
      <c r="M968" s="27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27"/>
      <c r="B969" s="27"/>
      <c r="C969" s="27"/>
      <c r="D969" s="27"/>
      <c r="E969" s="8"/>
      <c r="F969" s="8"/>
      <c r="G969" s="14"/>
      <c r="H969" s="8"/>
      <c r="I969" s="8"/>
      <c r="J969" s="8"/>
      <c r="K969" s="27"/>
      <c r="L969" s="8"/>
      <c r="M969" s="27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27"/>
      <c r="B970" s="27"/>
      <c r="C970" s="27"/>
      <c r="D970" s="27"/>
      <c r="E970" s="8"/>
      <c r="F970" s="8"/>
      <c r="G970" s="14"/>
      <c r="H970" s="8"/>
      <c r="I970" s="8"/>
      <c r="J970" s="8"/>
      <c r="K970" s="27"/>
      <c r="L970" s="8"/>
      <c r="M970" s="27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27"/>
      <c r="B971" s="27"/>
      <c r="C971" s="27"/>
      <c r="D971" s="27"/>
      <c r="E971" s="8"/>
      <c r="F971" s="8"/>
      <c r="G971" s="14"/>
      <c r="H971" s="8"/>
      <c r="I971" s="8"/>
      <c r="J971" s="8"/>
      <c r="K971" s="27"/>
      <c r="L971" s="8"/>
      <c r="M971" s="27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27"/>
      <c r="B972" s="27"/>
      <c r="C972" s="27"/>
      <c r="D972" s="27"/>
      <c r="E972" s="8"/>
      <c r="F972" s="8"/>
      <c r="G972" s="14"/>
      <c r="H972" s="8"/>
      <c r="I972" s="8"/>
      <c r="J972" s="8"/>
      <c r="K972" s="27"/>
      <c r="L972" s="8"/>
      <c r="M972" s="27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27"/>
      <c r="B973" s="27"/>
      <c r="C973" s="27"/>
      <c r="D973" s="27"/>
      <c r="E973" s="8"/>
      <c r="F973" s="8"/>
      <c r="G973" s="14"/>
      <c r="H973" s="8"/>
      <c r="I973" s="8"/>
      <c r="J973" s="8"/>
      <c r="K973" s="27"/>
      <c r="L973" s="8"/>
      <c r="M973" s="27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27"/>
      <c r="B974" s="27"/>
      <c r="C974" s="27"/>
      <c r="D974" s="27"/>
      <c r="E974" s="8"/>
      <c r="F974" s="8"/>
      <c r="G974" s="14"/>
      <c r="H974" s="8"/>
      <c r="I974" s="8"/>
      <c r="J974" s="8"/>
      <c r="K974" s="27"/>
      <c r="L974" s="8"/>
      <c r="M974" s="27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27"/>
      <c r="B975" s="27"/>
      <c r="C975" s="27"/>
      <c r="D975" s="27"/>
      <c r="E975" s="8"/>
      <c r="F975" s="8"/>
      <c r="G975" s="14"/>
      <c r="H975" s="8"/>
      <c r="I975" s="8"/>
      <c r="J975" s="8"/>
      <c r="K975" s="27"/>
      <c r="L975" s="8"/>
      <c r="M975" s="27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27"/>
      <c r="B976" s="27"/>
      <c r="C976" s="27"/>
      <c r="D976" s="27"/>
      <c r="E976" s="8"/>
      <c r="F976" s="8"/>
      <c r="G976" s="14"/>
      <c r="H976" s="8"/>
      <c r="I976" s="8"/>
      <c r="J976" s="8"/>
      <c r="K976" s="27"/>
      <c r="L976" s="8"/>
      <c r="M976" s="27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27"/>
      <c r="B977" s="27"/>
      <c r="C977" s="27"/>
      <c r="D977" s="27"/>
      <c r="E977" s="8"/>
      <c r="F977" s="8"/>
      <c r="G977" s="14"/>
      <c r="H977" s="8"/>
      <c r="I977" s="8"/>
      <c r="J977" s="8"/>
      <c r="K977" s="27"/>
      <c r="L977" s="8"/>
      <c r="M977" s="27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27"/>
      <c r="B978" s="27"/>
      <c r="C978" s="27"/>
      <c r="D978" s="27"/>
      <c r="E978" s="8"/>
      <c r="F978" s="8"/>
      <c r="G978" s="14"/>
      <c r="H978" s="8"/>
      <c r="I978" s="8"/>
      <c r="J978" s="8"/>
      <c r="K978" s="27"/>
      <c r="L978" s="8"/>
      <c r="M978" s="27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27"/>
      <c r="B979" s="27"/>
      <c r="C979" s="27"/>
      <c r="D979" s="27"/>
      <c r="E979" s="8"/>
      <c r="F979" s="8"/>
      <c r="G979" s="14"/>
      <c r="H979" s="8"/>
      <c r="I979" s="8"/>
      <c r="J979" s="8"/>
      <c r="K979" s="27"/>
      <c r="L979" s="8"/>
      <c r="M979" s="27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27"/>
      <c r="B980" s="27"/>
      <c r="C980" s="27"/>
      <c r="D980" s="27"/>
      <c r="E980" s="8"/>
      <c r="F980" s="8"/>
      <c r="G980" s="14"/>
      <c r="H980" s="8"/>
      <c r="I980" s="8"/>
      <c r="J980" s="8"/>
      <c r="K980" s="27"/>
      <c r="L980" s="8"/>
      <c r="M980" s="27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27"/>
      <c r="B981" s="27"/>
      <c r="C981" s="27"/>
      <c r="D981" s="27"/>
      <c r="E981" s="8"/>
      <c r="F981" s="8"/>
      <c r="G981" s="14"/>
      <c r="H981" s="8"/>
      <c r="I981" s="8"/>
      <c r="J981" s="8"/>
      <c r="K981" s="27"/>
      <c r="L981" s="8"/>
      <c r="M981" s="27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27"/>
      <c r="B982" s="27"/>
      <c r="C982" s="27"/>
      <c r="D982" s="27"/>
      <c r="E982" s="8"/>
      <c r="F982" s="8"/>
      <c r="G982" s="14"/>
      <c r="H982" s="8"/>
      <c r="I982" s="8"/>
      <c r="J982" s="8"/>
      <c r="K982" s="27"/>
      <c r="L982" s="8"/>
      <c r="M982" s="27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27"/>
      <c r="B983" s="27"/>
      <c r="C983" s="27"/>
      <c r="D983" s="27"/>
      <c r="E983" s="8"/>
      <c r="F983" s="8"/>
      <c r="G983" s="14"/>
      <c r="H983" s="8"/>
      <c r="I983" s="8"/>
      <c r="J983" s="8"/>
      <c r="K983" s="27"/>
      <c r="L983" s="8"/>
      <c r="M983" s="27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27"/>
      <c r="B984" s="27"/>
      <c r="C984" s="27"/>
      <c r="D984" s="27"/>
      <c r="E984" s="8"/>
      <c r="F984" s="8"/>
      <c r="G984" s="14"/>
      <c r="H984" s="8"/>
      <c r="I984" s="8"/>
      <c r="J984" s="8"/>
      <c r="K984" s="27"/>
      <c r="L984" s="8"/>
      <c r="M984" s="27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27"/>
      <c r="B985" s="27"/>
      <c r="C985" s="27"/>
      <c r="D985" s="27"/>
      <c r="E985" s="8"/>
      <c r="F985" s="8"/>
      <c r="G985" s="14"/>
      <c r="H985" s="8"/>
      <c r="I985" s="8"/>
      <c r="J985" s="8"/>
      <c r="K985" s="27"/>
      <c r="L985" s="8"/>
      <c r="M985" s="27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27"/>
      <c r="B986" s="27"/>
      <c r="C986" s="27"/>
      <c r="D986" s="27"/>
      <c r="E986" s="8"/>
      <c r="F986" s="8"/>
      <c r="G986" s="14"/>
      <c r="H986" s="8"/>
      <c r="I986" s="8"/>
      <c r="J986" s="8"/>
      <c r="K986" s="27"/>
      <c r="L986" s="8"/>
      <c r="M986" s="27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27"/>
      <c r="B987" s="27"/>
      <c r="C987" s="27"/>
      <c r="D987" s="27"/>
      <c r="E987" s="8"/>
      <c r="F987" s="8"/>
      <c r="G987" s="14"/>
      <c r="H987" s="8"/>
      <c r="I987" s="8"/>
      <c r="J987" s="8"/>
      <c r="K987" s="27"/>
      <c r="L987" s="8"/>
      <c r="M987" s="27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27"/>
      <c r="B988" s="27"/>
      <c r="C988" s="27"/>
      <c r="D988" s="27"/>
      <c r="E988" s="8"/>
      <c r="F988" s="8"/>
      <c r="G988" s="14"/>
      <c r="H988" s="8"/>
      <c r="I988" s="8"/>
      <c r="J988" s="8"/>
      <c r="K988" s="27"/>
      <c r="L988" s="8"/>
      <c r="M988" s="27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27"/>
      <c r="B989" s="27"/>
      <c r="C989" s="27"/>
      <c r="D989" s="27"/>
      <c r="E989" s="8"/>
      <c r="F989" s="8"/>
      <c r="G989" s="14"/>
      <c r="H989" s="8"/>
      <c r="I989" s="8"/>
      <c r="J989" s="8"/>
      <c r="K989" s="27"/>
      <c r="L989" s="8"/>
      <c r="M989" s="27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27"/>
      <c r="B990" s="27"/>
      <c r="C990" s="27"/>
      <c r="D990" s="27"/>
      <c r="E990" s="8"/>
      <c r="F990" s="8"/>
      <c r="G990" s="14"/>
      <c r="H990" s="8"/>
      <c r="I990" s="8"/>
      <c r="J990" s="8"/>
      <c r="K990" s="27"/>
      <c r="L990" s="8"/>
      <c r="M990" s="27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27"/>
      <c r="B991" s="27"/>
      <c r="C991" s="27"/>
      <c r="D991" s="27"/>
      <c r="E991" s="8"/>
      <c r="F991" s="8"/>
      <c r="G991" s="14"/>
      <c r="H991" s="8"/>
      <c r="I991" s="8"/>
      <c r="J991" s="8"/>
      <c r="K991" s="27"/>
      <c r="L991" s="8"/>
      <c r="M991" s="27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27"/>
      <c r="B992" s="27"/>
      <c r="C992" s="27"/>
      <c r="D992" s="27"/>
      <c r="E992" s="8"/>
      <c r="F992" s="8"/>
      <c r="G992" s="14"/>
      <c r="H992" s="8"/>
      <c r="I992" s="8"/>
      <c r="J992" s="8"/>
      <c r="K992" s="27"/>
      <c r="L992" s="8"/>
      <c r="M992" s="27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27"/>
      <c r="B993" s="27"/>
      <c r="C993" s="27"/>
      <c r="D993" s="27"/>
      <c r="E993" s="8"/>
      <c r="F993" s="8"/>
      <c r="G993" s="14"/>
      <c r="H993" s="8"/>
      <c r="I993" s="8"/>
      <c r="J993" s="8"/>
      <c r="K993" s="27"/>
      <c r="L993" s="8"/>
      <c r="M993" s="27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27"/>
      <c r="B994" s="27"/>
      <c r="C994" s="27"/>
      <c r="D994" s="27"/>
      <c r="E994" s="8"/>
      <c r="F994" s="8"/>
      <c r="G994" s="14"/>
      <c r="H994" s="8"/>
      <c r="I994" s="8"/>
      <c r="J994" s="8"/>
      <c r="K994" s="27"/>
      <c r="L994" s="8"/>
      <c r="M994" s="27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27"/>
      <c r="B995" s="27"/>
      <c r="C995" s="27"/>
      <c r="D995" s="27"/>
      <c r="E995" s="8"/>
      <c r="F995" s="8"/>
      <c r="G995" s="14"/>
      <c r="H995" s="8"/>
      <c r="I995" s="8"/>
      <c r="J995" s="8"/>
      <c r="K995" s="27"/>
      <c r="L995" s="8"/>
      <c r="M995" s="27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27"/>
      <c r="B996" s="27"/>
      <c r="C996" s="27"/>
      <c r="D996" s="27"/>
      <c r="E996" s="8"/>
      <c r="F996" s="8"/>
      <c r="G996" s="14"/>
      <c r="H996" s="8"/>
      <c r="I996" s="8"/>
      <c r="J996" s="8"/>
      <c r="K996" s="27"/>
      <c r="L996" s="8"/>
      <c r="M996" s="27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27"/>
      <c r="B997" s="27"/>
      <c r="C997" s="27"/>
      <c r="D997" s="27"/>
      <c r="E997" s="8"/>
      <c r="F997" s="8"/>
      <c r="G997" s="14"/>
      <c r="H997" s="8"/>
      <c r="I997" s="8"/>
      <c r="J997" s="8"/>
      <c r="K997" s="27"/>
      <c r="L997" s="8"/>
      <c r="M997" s="27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27"/>
      <c r="B998" s="27"/>
      <c r="C998" s="27"/>
      <c r="D998" s="27"/>
      <c r="E998" s="8"/>
      <c r="F998" s="8"/>
      <c r="G998" s="14"/>
      <c r="H998" s="8"/>
      <c r="I998" s="8"/>
      <c r="J998" s="8"/>
      <c r="K998" s="27"/>
      <c r="L998" s="8"/>
      <c r="M998" s="27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27"/>
      <c r="B999" s="27"/>
      <c r="C999" s="27"/>
      <c r="D999" s="27"/>
      <c r="E999" s="8"/>
      <c r="F999" s="8"/>
      <c r="G999" s="14"/>
      <c r="H999" s="8"/>
      <c r="I999" s="8"/>
      <c r="J999" s="8"/>
      <c r="K999" s="27"/>
      <c r="L999" s="8"/>
      <c r="M999" s="27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27"/>
      <c r="B1000" s="27"/>
      <c r="C1000" s="27"/>
      <c r="D1000" s="27"/>
      <c r="E1000" s="8"/>
      <c r="F1000" s="8"/>
      <c r="G1000" s="14"/>
      <c r="H1000" s="8"/>
      <c r="I1000" s="8"/>
      <c r="J1000" s="8"/>
      <c r="K1000" s="27"/>
      <c r="L1000" s="8"/>
      <c r="M1000" s="27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86"/>
    <col customWidth="1" min="2" max="2" width="34.0"/>
    <col customWidth="1" min="3" max="3" width="38.57"/>
    <col customWidth="1" min="4" max="4" width="47.14"/>
  </cols>
  <sheetData>
    <row r="1">
      <c r="A1" s="2" t="s">
        <v>81</v>
      </c>
      <c r="B1" s="2">
        <v>2011.0</v>
      </c>
    </row>
    <row r="2">
      <c r="A2" s="43" t="s">
        <v>82</v>
      </c>
      <c r="B2" s="43" t="s">
        <v>83</v>
      </c>
      <c r="C2" s="44" t="s">
        <v>84</v>
      </c>
      <c r="D2" s="44" t="s">
        <v>85</v>
      </c>
      <c r="E2" s="8"/>
      <c r="F2" s="8"/>
    </row>
    <row r="3">
      <c r="A3" s="45">
        <v>0.0</v>
      </c>
      <c r="B3" s="45">
        <v>0.0</v>
      </c>
      <c r="C3" s="46">
        <v>0.0</v>
      </c>
      <c r="D3" s="47">
        <f t="shared" ref="D3:D18" si="1">C3/(10000*52)*100</f>
        <v>0</v>
      </c>
      <c r="E3" s="8"/>
      <c r="F3" s="8"/>
    </row>
    <row r="4">
      <c r="A4" s="45">
        <v>0.0</v>
      </c>
      <c r="B4" s="45">
        <v>5.0</v>
      </c>
      <c r="C4" s="46">
        <v>0.0</v>
      </c>
      <c r="D4" s="47">
        <f t="shared" si="1"/>
        <v>0</v>
      </c>
      <c r="E4" s="8"/>
      <c r="F4" s="8"/>
    </row>
    <row r="5">
      <c r="A5" s="45">
        <v>0.0</v>
      </c>
      <c r="B5" s="45">
        <v>10.0</v>
      </c>
      <c r="C5" s="46">
        <v>3483.0</v>
      </c>
      <c r="D5" s="47">
        <f t="shared" si="1"/>
        <v>0.6698076923</v>
      </c>
      <c r="E5" s="8"/>
      <c r="F5" s="8"/>
    </row>
    <row r="6">
      <c r="A6" s="45">
        <v>0.0</v>
      </c>
      <c r="B6" s="45">
        <v>15.0</v>
      </c>
      <c r="C6" s="46">
        <v>51717.0</v>
      </c>
      <c r="D6" s="47">
        <f t="shared" si="1"/>
        <v>9.945576923</v>
      </c>
      <c r="E6" s="8"/>
      <c r="F6" s="48"/>
    </row>
    <row r="7">
      <c r="A7" s="45">
        <v>5.0</v>
      </c>
      <c r="B7" s="45">
        <v>0.0</v>
      </c>
      <c r="C7" s="46">
        <v>0.0</v>
      </c>
      <c r="D7" s="47">
        <f t="shared" si="1"/>
        <v>0</v>
      </c>
      <c r="E7" s="8"/>
      <c r="F7" s="8"/>
    </row>
    <row r="8">
      <c r="A8" s="45">
        <v>5.0</v>
      </c>
      <c r="B8" s="45">
        <v>5.0</v>
      </c>
      <c r="C8" s="46">
        <v>773.0</v>
      </c>
      <c r="D8" s="47">
        <f t="shared" si="1"/>
        <v>0.1486538462</v>
      </c>
      <c r="E8" s="8"/>
      <c r="F8" s="8"/>
    </row>
    <row r="9">
      <c r="A9" s="45">
        <v>5.0</v>
      </c>
      <c r="B9" s="45">
        <v>10.0</v>
      </c>
      <c r="C9" s="46">
        <v>19997.0</v>
      </c>
      <c r="D9" s="47">
        <f t="shared" si="1"/>
        <v>3.845576923</v>
      </c>
      <c r="E9" s="8"/>
      <c r="F9" s="8"/>
    </row>
    <row r="10">
      <c r="A10" s="45">
        <v>5.0</v>
      </c>
      <c r="B10" s="45">
        <v>15.0</v>
      </c>
      <c r="C10" s="46">
        <v>57629.0</v>
      </c>
      <c r="D10" s="47">
        <f t="shared" si="1"/>
        <v>11.0825</v>
      </c>
      <c r="E10" s="8"/>
      <c r="F10" s="8"/>
    </row>
    <row r="11">
      <c r="A11" s="45">
        <v>10.0</v>
      </c>
      <c r="B11" s="45">
        <v>0.0</v>
      </c>
      <c r="C11" s="46">
        <v>11722.0</v>
      </c>
      <c r="D11" s="47">
        <f t="shared" si="1"/>
        <v>2.254230769</v>
      </c>
      <c r="E11" s="8"/>
      <c r="F11" s="8"/>
    </row>
    <row r="12">
      <c r="A12" s="45">
        <v>10.0</v>
      </c>
      <c r="B12" s="45">
        <v>5.0</v>
      </c>
      <c r="C12" s="46">
        <v>24194.0</v>
      </c>
      <c r="D12" s="47">
        <f t="shared" si="1"/>
        <v>4.652692308</v>
      </c>
      <c r="E12" s="8"/>
      <c r="F12" s="8"/>
    </row>
    <row r="13">
      <c r="A13" s="45">
        <v>10.0</v>
      </c>
      <c r="B13" s="45">
        <v>10.0</v>
      </c>
      <c r="C13" s="46">
        <v>48579.0</v>
      </c>
      <c r="D13" s="47">
        <f t="shared" si="1"/>
        <v>9.342115385</v>
      </c>
      <c r="E13" s="8"/>
      <c r="F13" s="8"/>
    </row>
    <row r="14">
      <c r="A14" s="45">
        <v>10.0</v>
      </c>
      <c r="B14" s="45">
        <v>15.0</v>
      </c>
      <c r="C14" s="46">
        <v>78447.0</v>
      </c>
      <c r="D14" s="47">
        <f t="shared" si="1"/>
        <v>15.08596154</v>
      </c>
      <c r="E14" s="8"/>
      <c r="F14" s="8"/>
    </row>
    <row r="15">
      <c r="A15" s="45">
        <v>15.0</v>
      </c>
      <c r="B15" s="45">
        <v>0.0</v>
      </c>
      <c r="C15" s="46">
        <v>66755.0</v>
      </c>
      <c r="D15" s="47">
        <f t="shared" si="1"/>
        <v>12.8375</v>
      </c>
      <c r="E15" s="8"/>
      <c r="F15" s="8"/>
    </row>
    <row r="16">
      <c r="A16" s="45">
        <v>15.0</v>
      </c>
      <c r="B16" s="45">
        <v>5.0</v>
      </c>
      <c r="C16" s="46">
        <v>71847.0</v>
      </c>
      <c r="D16" s="47">
        <f t="shared" si="1"/>
        <v>13.81673077</v>
      </c>
      <c r="E16" s="8"/>
      <c r="F16" s="8"/>
    </row>
    <row r="17">
      <c r="A17" s="45">
        <v>15.0</v>
      </c>
      <c r="B17" s="45">
        <v>10.0</v>
      </c>
      <c r="C17" s="46">
        <v>85759.0</v>
      </c>
      <c r="D17" s="47">
        <f t="shared" si="1"/>
        <v>16.49211538</v>
      </c>
      <c r="E17" s="8"/>
      <c r="F17" s="8"/>
    </row>
    <row r="18">
      <c r="A18" s="45">
        <v>15.0</v>
      </c>
      <c r="B18" s="45">
        <v>15.0</v>
      </c>
      <c r="C18" s="46">
        <v>105575.0</v>
      </c>
      <c r="D18" s="47">
        <f t="shared" si="1"/>
        <v>20.30288462</v>
      </c>
      <c r="E18" s="8"/>
      <c r="F18" s="8"/>
    </row>
    <row r="19">
      <c r="A19" s="49"/>
      <c r="B19" s="49"/>
      <c r="C19" s="50"/>
      <c r="D19" s="50"/>
    </row>
    <row r="20">
      <c r="A20" s="49"/>
      <c r="B20" s="49"/>
      <c r="C20" s="50"/>
      <c r="D20" s="50"/>
    </row>
    <row r="21">
      <c r="A21" s="4" t="s">
        <v>81</v>
      </c>
      <c r="B21" s="4">
        <v>2012.0</v>
      </c>
      <c r="C21" s="50"/>
      <c r="D21" s="50"/>
    </row>
    <row r="22">
      <c r="A22" s="43" t="s">
        <v>82</v>
      </c>
      <c r="B22" s="43" t="s">
        <v>83</v>
      </c>
      <c r="C22" s="44" t="s">
        <v>84</v>
      </c>
      <c r="D22" s="44" t="s">
        <v>85</v>
      </c>
      <c r="E22" s="8"/>
      <c r="F22" s="8"/>
    </row>
    <row r="23">
      <c r="A23" s="45">
        <v>0.0</v>
      </c>
      <c r="B23" s="45">
        <v>0.0</v>
      </c>
      <c r="C23" s="46">
        <v>0.0</v>
      </c>
      <c r="D23" s="47">
        <f t="shared" ref="D23:D38" si="2">C23/(10000*52)*100</f>
        <v>0</v>
      </c>
      <c r="E23" s="8"/>
      <c r="F23" s="8"/>
    </row>
    <row r="24">
      <c r="A24" s="45">
        <v>0.0</v>
      </c>
      <c r="B24" s="45">
        <v>5.0</v>
      </c>
      <c r="C24" s="46">
        <v>0.0</v>
      </c>
      <c r="D24" s="47">
        <f t="shared" si="2"/>
        <v>0</v>
      </c>
      <c r="E24" s="8"/>
      <c r="F24" s="8"/>
    </row>
    <row r="25">
      <c r="A25" s="45">
        <v>0.0</v>
      </c>
      <c r="B25" s="45">
        <v>10.0</v>
      </c>
      <c r="C25" s="46">
        <v>21618.0</v>
      </c>
      <c r="D25" s="47">
        <f t="shared" si="2"/>
        <v>4.157307692</v>
      </c>
      <c r="E25" s="8"/>
      <c r="F25" s="8"/>
    </row>
    <row r="26">
      <c r="A26" s="45">
        <v>0.0</v>
      </c>
      <c r="B26" s="45">
        <v>15.0</v>
      </c>
      <c r="C26" s="46">
        <v>73673.0</v>
      </c>
      <c r="D26" s="47">
        <f t="shared" si="2"/>
        <v>14.16788462</v>
      </c>
      <c r="E26" s="8"/>
      <c r="F26" s="8"/>
    </row>
    <row r="27">
      <c r="A27" s="45">
        <v>5.0</v>
      </c>
      <c r="B27" s="45">
        <v>0.0</v>
      </c>
      <c r="C27" s="46">
        <v>244.0</v>
      </c>
      <c r="D27" s="47">
        <f t="shared" si="2"/>
        <v>0.04692307692</v>
      </c>
      <c r="E27" s="8"/>
      <c r="F27" s="48"/>
    </row>
    <row r="28">
      <c r="A28" s="45">
        <v>5.0</v>
      </c>
      <c r="B28" s="45">
        <v>5.0</v>
      </c>
      <c r="C28" s="46">
        <v>7053.0</v>
      </c>
      <c r="D28" s="47">
        <f t="shared" si="2"/>
        <v>1.356346154</v>
      </c>
      <c r="E28" s="8"/>
      <c r="F28" s="8"/>
    </row>
    <row r="29">
      <c r="A29" s="45">
        <v>5.0</v>
      </c>
      <c r="B29" s="45">
        <v>10.0</v>
      </c>
      <c r="C29" s="46">
        <v>36433.0</v>
      </c>
      <c r="D29" s="47">
        <f t="shared" si="2"/>
        <v>7.006346154</v>
      </c>
      <c r="E29" s="8"/>
      <c r="F29" s="8"/>
    </row>
    <row r="30">
      <c r="A30" s="45">
        <v>5.0</v>
      </c>
      <c r="B30" s="45">
        <v>15.0</v>
      </c>
      <c r="C30" s="46">
        <v>80246.0</v>
      </c>
      <c r="D30" s="47">
        <f t="shared" si="2"/>
        <v>15.43192308</v>
      </c>
      <c r="E30" s="8"/>
      <c r="F30" s="8"/>
    </row>
    <row r="31">
      <c r="A31" s="45">
        <v>10.0</v>
      </c>
      <c r="B31" s="45">
        <v>0.0</v>
      </c>
      <c r="C31" s="46">
        <v>30748.0</v>
      </c>
      <c r="D31" s="47">
        <f t="shared" si="2"/>
        <v>5.913076923</v>
      </c>
      <c r="E31" s="8"/>
      <c r="F31" s="48"/>
    </row>
    <row r="32">
      <c r="A32" s="45">
        <v>10.0</v>
      </c>
      <c r="B32" s="45">
        <v>5.0</v>
      </c>
      <c r="C32" s="46">
        <v>41591.0</v>
      </c>
      <c r="D32" s="47">
        <f t="shared" si="2"/>
        <v>7.998269231</v>
      </c>
      <c r="E32" s="8"/>
      <c r="F32" s="8"/>
    </row>
    <row r="33">
      <c r="A33" s="45">
        <v>10.0</v>
      </c>
      <c r="B33" s="45">
        <v>10.0</v>
      </c>
      <c r="C33" s="46">
        <v>67330.0</v>
      </c>
      <c r="D33" s="47">
        <f t="shared" si="2"/>
        <v>12.94807692</v>
      </c>
      <c r="E33" s="8"/>
      <c r="F33" s="8"/>
    </row>
    <row r="34">
      <c r="A34" s="45">
        <v>10.0</v>
      </c>
      <c r="B34" s="45">
        <v>15.0</v>
      </c>
      <c r="C34" s="46">
        <v>97722.0</v>
      </c>
      <c r="D34" s="47">
        <f t="shared" si="2"/>
        <v>18.79269231</v>
      </c>
      <c r="E34" s="8"/>
      <c r="F34" s="8"/>
    </row>
    <row r="35">
      <c r="A35" s="45">
        <v>15.0</v>
      </c>
      <c r="B35" s="45">
        <v>0.0</v>
      </c>
      <c r="C35" s="46">
        <v>89882.0</v>
      </c>
      <c r="D35" s="47">
        <f t="shared" si="2"/>
        <v>17.285</v>
      </c>
      <c r="E35" s="8"/>
      <c r="F35" s="48"/>
    </row>
    <row r="36">
      <c r="A36" s="45">
        <v>15.0</v>
      </c>
      <c r="B36" s="45">
        <v>5.0</v>
      </c>
      <c r="C36" s="46">
        <v>92468.0</v>
      </c>
      <c r="D36" s="47">
        <f t="shared" si="2"/>
        <v>17.78230769</v>
      </c>
      <c r="E36" s="8"/>
      <c r="F36" s="8"/>
    </row>
    <row r="37">
      <c r="A37" s="45">
        <v>15.0</v>
      </c>
      <c r="B37" s="45">
        <v>10.0</v>
      </c>
      <c r="C37" s="46">
        <v>104040.0</v>
      </c>
      <c r="D37" s="47">
        <f t="shared" si="2"/>
        <v>20.00769231</v>
      </c>
      <c r="E37" s="8"/>
      <c r="F37" s="8"/>
    </row>
    <row r="38">
      <c r="A38" s="45">
        <v>15.0</v>
      </c>
      <c r="B38" s="45">
        <v>15.0</v>
      </c>
      <c r="C38" s="46">
        <v>122458.0</v>
      </c>
      <c r="D38" s="47">
        <f t="shared" si="2"/>
        <v>23.54961538</v>
      </c>
      <c r="E38" s="8"/>
      <c r="F38" s="8"/>
    </row>
    <row r="39">
      <c r="A39" s="49"/>
      <c r="B39" s="49"/>
      <c r="C39" s="50"/>
      <c r="D39" s="50"/>
    </row>
    <row r="40">
      <c r="A40" s="49"/>
      <c r="B40" s="49"/>
      <c r="C40" s="50"/>
      <c r="D40" s="50"/>
    </row>
    <row r="41">
      <c r="A41" s="4" t="s">
        <v>86</v>
      </c>
      <c r="B41" s="4">
        <v>2013.0</v>
      </c>
      <c r="C41" s="50"/>
      <c r="D41" s="50"/>
    </row>
    <row r="42">
      <c r="A42" s="43" t="s">
        <v>82</v>
      </c>
      <c r="B42" s="43" t="s">
        <v>83</v>
      </c>
      <c r="C42" s="44" t="s">
        <v>84</v>
      </c>
      <c r="D42" s="44" t="s">
        <v>85</v>
      </c>
      <c r="E42" s="8"/>
      <c r="F42" s="8"/>
    </row>
    <row r="43">
      <c r="A43" s="45">
        <v>0.0</v>
      </c>
      <c r="B43" s="45">
        <v>0.0</v>
      </c>
      <c r="C43" s="46">
        <v>0.0</v>
      </c>
      <c r="D43" s="47">
        <f t="shared" ref="D43:D58" si="3">C43/(10000*52)*100</f>
        <v>0</v>
      </c>
      <c r="E43" s="9"/>
      <c r="F43" s="8"/>
    </row>
    <row r="44">
      <c r="A44" s="45">
        <v>0.0</v>
      </c>
      <c r="B44" s="45">
        <v>5.0</v>
      </c>
      <c r="C44" s="46">
        <v>1307.0</v>
      </c>
      <c r="D44" s="47">
        <f t="shared" si="3"/>
        <v>0.2513461538</v>
      </c>
      <c r="E44" s="9"/>
      <c r="F44" s="8"/>
    </row>
    <row r="45">
      <c r="A45" s="45">
        <v>0.0</v>
      </c>
      <c r="B45" s="45">
        <v>10.0</v>
      </c>
      <c r="C45" s="46">
        <v>19762.0</v>
      </c>
      <c r="D45" s="47">
        <f t="shared" si="3"/>
        <v>3.800384615</v>
      </c>
      <c r="E45" s="9"/>
      <c r="F45" s="48"/>
    </row>
    <row r="46">
      <c r="A46" s="45">
        <v>0.0</v>
      </c>
      <c r="B46" s="45">
        <v>15.0</v>
      </c>
      <c r="C46" s="46">
        <v>62426.0</v>
      </c>
      <c r="D46" s="47">
        <f t="shared" si="3"/>
        <v>12.005</v>
      </c>
      <c r="E46" s="9"/>
      <c r="F46" s="8"/>
    </row>
    <row r="47">
      <c r="A47" s="45">
        <v>5.0</v>
      </c>
      <c r="B47" s="45">
        <v>0.0</v>
      </c>
      <c r="C47" s="46">
        <v>1700.0</v>
      </c>
      <c r="D47" s="47">
        <f t="shared" si="3"/>
        <v>0.3269230769</v>
      </c>
      <c r="E47" s="9"/>
      <c r="F47" s="48"/>
    </row>
    <row r="48">
      <c r="A48" s="45">
        <v>5.0</v>
      </c>
      <c r="B48" s="45">
        <v>5.0</v>
      </c>
      <c r="C48" s="46">
        <v>8039.0</v>
      </c>
      <c r="D48" s="47">
        <f t="shared" si="3"/>
        <v>1.545961538</v>
      </c>
      <c r="E48" s="9"/>
      <c r="F48" s="8"/>
    </row>
    <row r="49">
      <c r="A49" s="45">
        <v>5.0</v>
      </c>
      <c r="B49" s="45">
        <v>10.0</v>
      </c>
      <c r="C49" s="46">
        <v>31418.0</v>
      </c>
      <c r="D49" s="47">
        <f t="shared" si="3"/>
        <v>6.041923077</v>
      </c>
      <c r="E49" s="9"/>
      <c r="F49" s="8"/>
    </row>
    <row r="50">
      <c r="A50" s="45">
        <v>5.0</v>
      </c>
      <c r="B50" s="45">
        <v>15.0</v>
      </c>
      <c r="C50" s="46">
        <v>69520.0</v>
      </c>
      <c r="D50" s="47">
        <f t="shared" si="3"/>
        <v>13.36923077</v>
      </c>
      <c r="E50" s="9"/>
      <c r="F50" s="8"/>
    </row>
    <row r="51">
      <c r="A51" s="45">
        <v>10.0</v>
      </c>
      <c r="B51" s="45">
        <v>0.0</v>
      </c>
      <c r="C51" s="46">
        <v>25246.0</v>
      </c>
      <c r="D51" s="47">
        <f t="shared" si="3"/>
        <v>4.855</v>
      </c>
      <c r="E51" s="9"/>
      <c r="F51" s="48"/>
    </row>
    <row r="52">
      <c r="A52" s="45">
        <v>10.0</v>
      </c>
      <c r="B52" s="45">
        <v>5.0</v>
      </c>
      <c r="C52" s="46">
        <v>36173.0</v>
      </c>
      <c r="D52" s="47">
        <f t="shared" si="3"/>
        <v>6.956346154</v>
      </c>
      <c r="E52" s="8"/>
      <c r="F52" s="8"/>
    </row>
    <row r="53">
      <c r="A53" s="45">
        <v>10.0</v>
      </c>
      <c r="B53" s="45">
        <v>10.0</v>
      </c>
      <c r="C53" s="46">
        <v>59824.0</v>
      </c>
      <c r="D53" s="47">
        <f t="shared" si="3"/>
        <v>11.50461538</v>
      </c>
      <c r="E53" s="8"/>
      <c r="F53" s="8"/>
    </row>
    <row r="54">
      <c r="A54" s="45">
        <v>10.0</v>
      </c>
      <c r="B54" s="45">
        <v>15.0</v>
      </c>
      <c r="C54" s="46">
        <v>88664.0</v>
      </c>
      <c r="D54" s="47">
        <f t="shared" si="3"/>
        <v>17.05076923</v>
      </c>
      <c r="E54" s="8"/>
      <c r="F54" s="8"/>
    </row>
    <row r="55">
      <c r="A55" s="45">
        <v>15.0</v>
      </c>
      <c r="B55" s="45">
        <v>0.0</v>
      </c>
      <c r="C55" s="46">
        <v>78582.0</v>
      </c>
      <c r="D55" s="47">
        <f t="shared" si="3"/>
        <v>15.11192308</v>
      </c>
      <c r="E55" s="8"/>
      <c r="F55" s="8"/>
    </row>
    <row r="56">
      <c r="A56" s="45">
        <v>15.0</v>
      </c>
      <c r="B56" s="45">
        <v>5.0</v>
      </c>
      <c r="C56" s="46">
        <v>82560.0</v>
      </c>
      <c r="D56" s="47">
        <f t="shared" si="3"/>
        <v>15.87692308</v>
      </c>
      <c r="E56" s="8"/>
      <c r="F56" s="8"/>
    </row>
    <row r="57">
      <c r="A57" s="45">
        <v>15.0</v>
      </c>
      <c r="B57" s="45">
        <v>10.0</v>
      </c>
      <c r="C57" s="46">
        <v>95430.0</v>
      </c>
      <c r="D57" s="47">
        <f t="shared" si="3"/>
        <v>18.35192308</v>
      </c>
      <c r="E57" s="8"/>
      <c r="F57" s="8"/>
    </row>
    <row r="58">
      <c r="A58" s="45">
        <v>15.0</v>
      </c>
      <c r="B58" s="45">
        <v>15.0</v>
      </c>
      <c r="C58" s="46">
        <v>114268.0</v>
      </c>
      <c r="D58" s="47">
        <f t="shared" si="3"/>
        <v>21.97461538</v>
      </c>
      <c r="E58" s="8"/>
      <c r="F58" s="8"/>
    </row>
    <row r="59">
      <c r="A59" s="49"/>
      <c r="B59" s="49"/>
      <c r="C59" s="50"/>
      <c r="D59" s="50"/>
    </row>
    <row r="60">
      <c r="A60" s="49"/>
      <c r="B60" s="49"/>
      <c r="C60" s="50"/>
      <c r="D60" s="50"/>
    </row>
    <row r="61">
      <c r="A61" s="4" t="s">
        <v>81</v>
      </c>
      <c r="B61" s="4">
        <v>2014.0</v>
      </c>
      <c r="C61" s="50"/>
      <c r="D61" s="50"/>
    </row>
    <row r="62">
      <c r="A62" s="43" t="s">
        <v>82</v>
      </c>
      <c r="B62" s="43" t="s">
        <v>83</v>
      </c>
      <c r="C62" s="44" t="s">
        <v>84</v>
      </c>
      <c r="D62" s="44" t="s">
        <v>85</v>
      </c>
      <c r="E62" s="8"/>
      <c r="F62" s="8"/>
    </row>
    <row r="63">
      <c r="A63" s="45">
        <v>0.0</v>
      </c>
      <c r="B63" s="45">
        <v>0.0</v>
      </c>
      <c r="C63" s="46">
        <v>0.0</v>
      </c>
      <c r="D63" s="47">
        <f t="shared" ref="D63:D78" si="4">C63/(10000*52)*100</f>
        <v>0</v>
      </c>
      <c r="E63" s="9"/>
      <c r="F63" s="8"/>
    </row>
    <row r="64">
      <c r="A64" s="45">
        <v>0.0</v>
      </c>
      <c r="B64" s="45">
        <v>5.0</v>
      </c>
      <c r="C64" s="46">
        <v>3791.0</v>
      </c>
      <c r="D64" s="47">
        <f t="shared" si="4"/>
        <v>0.7290384615</v>
      </c>
      <c r="E64" s="9"/>
      <c r="F64" s="8"/>
    </row>
    <row r="65">
      <c r="A65" s="45">
        <v>0.0</v>
      </c>
      <c r="B65" s="45">
        <v>10.0</v>
      </c>
      <c r="C65" s="46">
        <v>15744.0</v>
      </c>
      <c r="D65" s="47">
        <f t="shared" si="4"/>
        <v>3.027692308</v>
      </c>
      <c r="E65" s="9"/>
      <c r="F65" s="48"/>
    </row>
    <row r="66">
      <c r="A66" s="45">
        <v>0.0</v>
      </c>
      <c r="B66" s="45">
        <v>15.0</v>
      </c>
      <c r="C66" s="46">
        <v>45836.0</v>
      </c>
      <c r="D66" s="47">
        <f t="shared" si="4"/>
        <v>8.814615385</v>
      </c>
      <c r="E66" s="9"/>
      <c r="F66" s="8"/>
    </row>
    <row r="67">
      <c r="A67" s="45">
        <v>5.0</v>
      </c>
      <c r="B67" s="45">
        <v>0.0</v>
      </c>
      <c r="C67" s="46">
        <v>4038.0</v>
      </c>
      <c r="D67" s="47">
        <f t="shared" si="4"/>
        <v>0.7765384615</v>
      </c>
      <c r="E67" s="9"/>
      <c r="F67" s="8"/>
    </row>
    <row r="68">
      <c r="A68" s="45">
        <v>5.0</v>
      </c>
      <c r="B68" s="45">
        <v>5.0</v>
      </c>
      <c r="C68" s="46">
        <v>8147.0</v>
      </c>
      <c r="D68" s="47">
        <f t="shared" si="4"/>
        <v>1.566730769</v>
      </c>
      <c r="E68" s="9"/>
      <c r="F68" s="48"/>
    </row>
    <row r="69">
      <c r="A69" s="45">
        <v>5.0</v>
      </c>
      <c r="B69" s="45">
        <v>10.0</v>
      </c>
      <c r="C69" s="46">
        <v>24129.0</v>
      </c>
      <c r="D69" s="47">
        <f t="shared" si="4"/>
        <v>4.640192308</v>
      </c>
      <c r="E69" s="9"/>
      <c r="F69" s="8"/>
    </row>
    <row r="70">
      <c r="A70" s="45">
        <v>5.0</v>
      </c>
      <c r="B70" s="45">
        <v>15.0</v>
      </c>
      <c r="C70" s="46">
        <v>55349.0</v>
      </c>
      <c r="D70" s="47">
        <f t="shared" si="4"/>
        <v>10.64403846</v>
      </c>
      <c r="E70" s="9"/>
      <c r="F70" s="8"/>
    </row>
    <row r="71">
      <c r="A71" s="45">
        <v>10.0</v>
      </c>
      <c r="B71" s="45">
        <v>0.0</v>
      </c>
      <c r="C71" s="46">
        <v>18639.0</v>
      </c>
      <c r="D71" s="47">
        <f t="shared" si="4"/>
        <v>3.584423077</v>
      </c>
      <c r="E71" s="9"/>
      <c r="F71" s="48"/>
    </row>
    <row r="72">
      <c r="A72" s="45">
        <v>10.0</v>
      </c>
      <c r="B72" s="45">
        <v>5.0</v>
      </c>
      <c r="C72" s="46">
        <v>27351.0</v>
      </c>
      <c r="D72" s="47">
        <f t="shared" si="4"/>
        <v>5.259807692</v>
      </c>
      <c r="E72" s="8"/>
      <c r="F72" s="8"/>
    </row>
    <row r="73">
      <c r="A73" s="45">
        <v>10.0</v>
      </c>
      <c r="B73" s="45">
        <v>10.0</v>
      </c>
      <c r="C73" s="46">
        <v>48953.0</v>
      </c>
      <c r="D73" s="47">
        <f t="shared" si="4"/>
        <v>9.414038462</v>
      </c>
      <c r="E73" s="8"/>
      <c r="F73" s="8"/>
    </row>
    <row r="74">
      <c r="A74" s="45">
        <v>10.0</v>
      </c>
      <c r="B74" s="45">
        <v>15.0</v>
      </c>
      <c r="C74" s="46">
        <v>77223.0</v>
      </c>
      <c r="D74" s="47">
        <f t="shared" si="4"/>
        <v>14.85057692</v>
      </c>
      <c r="E74" s="8"/>
      <c r="F74" s="8"/>
    </row>
    <row r="75">
      <c r="A75" s="45">
        <v>15.0</v>
      </c>
      <c r="B75" s="45">
        <v>0.0</v>
      </c>
      <c r="C75" s="46">
        <v>62905.0</v>
      </c>
      <c r="D75" s="47">
        <f t="shared" si="4"/>
        <v>12.09711538</v>
      </c>
      <c r="E75" s="8"/>
      <c r="F75" s="8"/>
    </row>
    <row r="76">
      <c r="A76" s="45">
        <v>15.0</v>
      </c>
      <c r="B76" s="45">
        <v>5.0</v>
      </c>
      <c r="C76" s="46">
        <v>68639.0</v>
      </c>
      <c r="D76" s="47">
        <f t="shared" si="4"/>
        <v>13.19980769</v>
      </c>
      <c r="E76" s="8"/>
      <c r="F76" s="8"/>
    </row>
    <row r="77">
      <c r="A77" s="45">
        <v>15.0</v>
      </c>
      <c r="B77" s="45">
        <v>10.0</v>
      </c>
      <c r="C77" s="46">
        <v>84147.0</v>
      </c>
      <c r="D77" s="47">
        <f t="shared" si="4"/>
        <v>16.18211538</v>
      </c>
      <c r="E77" s="8"/>
      <c r="F77" s="8"/>
    </row>
    <row r="78">
      <c r="A78" s="45">
        <v>15.0</v>
      </c>
      <c r="B78" s="45">
        <v>15.0</v>
      </c>
      <c r="C78" s="46">
        <v>103207.0</v>
      </c>
      <c r="D78" s="47">
        <f t="shared" si="4"/>
        <v>19.8475</v>
      </c>
      <c r="E78" s="8"/>
      <c r="F78" s="8"/>
    </row>
    <row r="79">
      <c r="A79" s="49"/>
      <c r="B79" s="49"/>
      <c r="C79" s="50"/>
      <c r="D79" s="50"/>
    </row>
    <row r="80">
      <c r="A80" s="49"/>
      <c r="B80" s="49"/>
      <c r="C80" s="50"/>
      <c r="D80" s="50"/>
    </row>
    <row r="81">
      <c r="A81" s="4" t="s">
        <v>86</v>
      </c>
      <c r="B81" s="4">
        <v>2015.0</v>
      </c>
      <c r="C81" s="50"/>
      <c r="D81" s="50"/>
    </row>
    <row r="82">
      <c r="A82" s="43" t="s">
        <v>82</v>
      </c>
      <c r="B82" s="43" t="s">
        <v>83</v>
      </c>
      <c r="C82" s="44" t="s">
        <v>84</v>
      </c>
      <c r="D82" s="51" t="s">
        <v>85</v>
      </c>
      <c r="E82" s="12"/>
      <c r="F82" s="8"/>
    </row>
    <row r="83">
      <c r="A83" s="45">
        <v>0.0</v>
      </c>
      <c r="B83" s="45">
        <v>0.0</v>
      </c>
      <c r="C83" s="46">
        <v>0.0</v>
      </c>
      <c r="D83" s="47">
        <f t="shared" ref="D83:D98" si="5">C83/(10000*52)*100</f>
        <v>0</v>
      </c>
      <c r="E83" s="9"/>
      <c r="F83" s="8"/>
    </row>
    <row r="84">
      <c r="A84" s="45">
        <v>0.0</v>
      </c>
      <c r="B84" s="45">
        <v>5.0</v>
      </c>
      <c r="C84" s="46">
        <v>0.0</v>
      </c>
      <c r="D84" s="47">
        <f t="shared" si="5"/>
        <v>0</v>
      </c>
      <c r="E84" s="9"/>
      <c r="F84" s="8"/>
    </row>
    <row r="85">
      <c r="A85" s="45">
        <v>0.0</v>
      </c>
      <c r="B85" s="45">
        <v>10.0</v>
      </c>
      <c r="C85" s="46">
        <v>702.0</v>
      </c>
      <c r="D85" s="47">
        <f t="shared" si="5"/>
        <v>0.135</v>
      </c>
      <c r="E85" s="9"/>
      <c r="F85" s="8"/>
    </row>
    <row r="86">
      <c r="A86" s="45">
        <v>0.0</v>
      </c>
      <c r="B86" s="45">
        <v>15.0</v>
      </c>
      <c r="C86" s="46">
        <v>30216.0</v>
      </c>
      <c r="D86" s="47">
        <f t="shared" si="5"/>
        <v>5.810769231</v>
      </c>
      <c r="E86" s="9"/>
      <c r="F86" s="8"/>
    </row>
    <row r="87">
      <c r="A87" s="45">
        <v>5.0</v>
      </c>
      <c r="B87" s="45">
        <v>0.0</v>
      </c>
      <c r="C87" s="46">
        <v>0.0</v>
      </c>
      <c r="D87" s="47">
        <f t="shared" si="5"/>
        <v>0</v>
      </c>
      <c r="E87" s="9"/>
      <c r="F87" s="8"/>
    </row>
    <row r="88">
      <c r="A88" s="45">
        <v>5.0</v>
      </c>
      <c r="B88" s="45">
        <v>5.0</v>
      </c>
      <c r="C88" s="46">
        <v>161.0</v>
      </c>
      <c r="D88" s="47">
        <f t="shared" si="5"/>
        <v>0.03096153846</v>
      </c>
      <c r="E88" s="9"/>
      <c r="F88" s="48"/>
    </row>
    <row r="89">
      <c r="A89" s="45">
        <v>5.0</v>
      </c>
      <c r="B89" s="45">
        <v>10.0</v>
      </c>
      <c r="C89" s="46">
        <v>10544.0</v>
      </c>
      <c r="D89" s="47">
        <f t="shared" si="5"/>
        <v>2.027692308</v>
      </c>
      <c r="E89" s="9"/>
      <c r="F89" s="8"/>
    </row>
    <row r="90">
      <c r="A90" s="45">
        <v>5.0</v>
      </c>
      <c r="B90" s="45">
        <v>15.0</v>
      </c>
      <c r="C90" s="46">
        <v>39945.0</v>
      </c>
      <c r="D90" s="47">
        <f t="shared" si="5"/>
        <v>7.681730769</v>
      </c>
      <c r="E90" s="9"/>
      <c r="F90" s="8"/>
    </row>
    <row r="91">
      <c r="A91" s="45">
        <v>10.0</v>
      </c>
      <c r="B91" s="45">
        <v>0.0</v>
      </c>
      <c r="C91" s="46">
        <v>3874.0</v>
      </c>
      <c r="D91" s="47">
        <f t="shared" si="5"/>
        <v>0.745</v>
      </c>
      <c r="E91" s="9"/>
      <c r="F91" s="48"/>
    </row>
    <row r="92">
      <c r="A92" s="45">
        <v>10.0</v>
      </c>
      <c r="B92" s="45">
        <v>5.0</v>
      </c>
      <c r="C92" s="46">
        <v>13636.0</v>
      </c>
      <c r="D92" s="47">
        <f t="shared" si="5"/>
        <v>2.622307692</v>
      </c>
      <c r="E92" s="8"/>
      <c r="F92" s="52"/>
    </row>
    <row r="93">
      <c r="A93" s="45">
        <v>10.0</v>
      </c>
      <c r="B93" s="45">
        <v>10.0</v>
      </c>
      <c r="C93" s="46">
        <v>35040.0</v>
      </c>
      <c r="D93" s="47">
        <f t="shared" si="5"/>
        <v>6.738461538</v>
      </c>
      <c r="E93" s="8"/>
      <c r="F93" s="52"/>
    </row>
    <row r="94">
      <c r="A94" s="45">
        <v>10.0</v>
      </c>
      <c r="B94" s="45">
        <v>15.0</v>
      </c>
      <c r="C94" s="46">
        <v>64309.0</v>
      </c>
      <c r="D94" s="47">
        <f t="shared" si="5"/>
        <v>12.36711538</v>
      </c>
      <c r="E94" s="8"/>
      <c r="F94" s="8"/>
    </row>
    <row r="95">
      <c r="A95" s="45">
        <v>15.0</v>
      </c>
      <c r="B95" s="45">
        <v>0.0</v>
      </c>
      <c r="C95" s="46">
        <v>47407.0</v>
      </c>
      <c r="D95" s="47">
        <f t="shared" si="5"/>
        <v>9.116730769</v>
      </c>
      <c r="E95" s="8"/>
      <c r="F95" s="48"/>
    </row>
    <row r="96">
      <c r="A96" s="45">
        <v>15.0</v>
      </c>
      <c r="B96" s="45">
        <v>5.0</v>
      </c>
      <c r="C96" s="46">
        <v>55141.0</v>
      </c>
      <c r="D96" s="47">
        <f t="shared" si="5"/>
        <v>10.60403846</v>
      </c>
      <c r="E96" s="8"/>
      <c r="F96" s="8"/>
    </row>
    <row r="97">
      <c r="A97" s="45">
        <v>15.0</v>
      </c>
      <c r="B97" s="45">
        <v>10.0</v>
      </c>
      <c r="C97" s="46">
        <v>71183.0</v>
      </c>
      <c r="D97" s="47">
        <f t="shared" si="5"/>
        <v>13.68903846</v>
      </c>
      <c r="E97" s="8"/>
      <c r="F97" s="8"/>
    </row>
    <row r="98">
      <c r="A98" s="45">
        <v>15.0</v>
      </c>
      <c r="B98" s="45">
        <v>15.0</v>
      </c>
      <c r="C98" s="46">
        <v>92252.0</v>
      </c>
      <c r="D98" s="47">
        <f t="shared" si="5"/>
        <v>17.74076923</v>
      </c>
      <c r="E98" s="8"/>
      <c r="F98" s="8"/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71"/>
    <col customWidth="1" min="2" max="2" width="145.0"/>
    <col customWidth="1" min="3" max="3" width="14.0"/>
    <col customWidth="1" min="4" max="4" width="19.86"/>
    <col customWidth="1" min="5" max="5" width="13.29"/>
    <col customWidth="1" min="6" max="6" width="18.86"/>
    <col customWidth="1" min="7" max="7" width="13.29"/>
    <col customWidth="1" min="8" max="8" width="12.0"/>
    <col customWidth="1" min="9" max="9" width="11.0"/>
    <col customWidth="1" min="10" max="11" width="12.0"/>
    <col customWidth="1" min="12" max="12" width="9.43"/>
    <col customWidth="1" min="13" max="13" width="15.43"/>
    <col customWidth="1" min="14" max="14" width="12.0"/>
    <col customWidth="1" min="15" max="15" width="9.43"/>
    <col customWidth="1" min="16" max="17" width="12.0"/>
    <col customWidth="1" min="18" max="18" width="9.43"/>
    <col customWidth="1" min="19" max="20" width="12.0"/>
    <col customWidth="1" min="21" max="21" width="9.43"/>
    <col customWidth="1" min="22" max="23" width="12.0"/>
    <col customWidth="1" min="24" max="24" width="9.43"/>
    <col customWidth="1" min="25" max="26" width="12.0"/>
    <col customWidth="1" min="27" max="27" width="11.29"/>
    <col customWidth="1" min="28" max="28" width="29.86"/>
    <col customWidth="1" min="29" max="29" width="62.29"/>
    <col customWidth="1" min="30" max="30" width="9.43"/>
    <col customWidth="1" min="31" max="32" width="12.0"/>
    <col customWidth="1" min="33" max="33" width="9.43"/>
    <col customWidth="1" min="34" max="35" width="12.0"/>
    <col customWidth="1" min="36" max="36" width="10.43"/>
  </cols>
  <sheetData>
    <row r="1">
      <c r="A1" s="53"/>
      <c r="B1" s="53" t="s">
        <v>42</v>
      </c>
      <c r="C1" s="54" t="s">
        <v>87</v>
      </c>
      <c r="D1" s="54" t="s">
        <v>88</v>
      </c>
      <c r="E1" s="54" t="s">
        <v>89</v>
      </c>
      <c r="F1" s="55" t="s">
        <v>90</v>
      </c>
      <c r="G1" s="55" t="s">
        <v>91</v>
      </c>
      <c r="H1" s="55" t="s">
        <v>92</v>
      </c>
      <c r="I1" s="55" t="s">
        <v>93</v>
      </c>
      <c r="J1" s="55" t="s">
        <v>94</v>
      </c>
      <c r="K1" s="55" t="s">
        <v>95</v>
      </c>
      <c r="L1" s="55" t="s">
        <v>96</v>
      </c>
      <c r="M1" s="55" t="s">
        <v>97</v>
      </c>
      <c r="N1" s="55" t="s">
        <v>98</v>
      </c>
      <c r="O1" s="56">
        <v>4.5</v>
      </c>
      <c r="P1" s="56">
        <v>5.0</v>
      </c>
      <c r="Q1" s="56">
        <v>5.5</v>
      </c>
      <c r="R1" s="56">
        <v>6.0</v>
      </c>
      <c r="S1" s="56">
        <v>6.5</v>
      </c>
      <c r="T1" s="56">
        <v>7.0</v>
      </c>
      <c r="U1" s="56">
        <v>7.5</v>
      </c>
      <c r="V1" s="56">
        <v>8.0</v>
      </c>
      <c r="W1" s="56">
        <v>8.5</v>
      </c>
      <c r="X1" s="56">
        <v>9.0</v>
      </c>
      <c r="Y1" s="56">
        <v>9.5</v>
      </c>
      <c r="Z1" s="56">
        <v>10.0</v>
      </c>
      <c r="AA1" s="57" t="s">
        <v>99</v>
      </c>
      <c r="AB1" s="57" t="s">
        <v>100</v>
      </c>
      <c r="AC1" s="57" t="s">
        <v>101</v>
      </c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>
      <c r="A2" s="50" t="s">
        <v>102</v>
      </c>
      <c r="C2" s="8" t="s">
        <v>103</v>
      </c>
      <c r="D2" s="8" t="s">
        <v>104</v>
      </c>
      <c r="E2" s="8" t="s">
        <v>105</v>
      </c>
      <c r="F2" s="9" t="s">
        <v>106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58" t="s">
        <v>107</v>
      </c>
      <c r="AB2" s="8"/>
      <c r="AC2" s="8" t="s">
        <v>108</v>
      </c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>
      <c r="C3" s="8" t="s">
        <v>109</v>
      </c>
      <c r="D3" s="8" t="s">
        <v>104</v>
      </c>
      <c r="E3" s="8" t="s">
        <v>105</v>
      </c>
      <c r="F3" s="9">
        <v>0.76958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58" t="s">
        <v>110</v>
      </c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>
      <c r="C4" s="8" t="s">
        <v>111</v>
      </c>
      <c r="D4" s="8" t="s">
        <v>104</v>
      </c>
      <c r="E4" s="8" t="s">
        <v>105</v>
      </c>
      <c r="F4" s="9" t="s">
        <v>106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58" t="s">
        <v>112</v>
      </c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>
      <c r="C5" s="8" t="s">
        <v>113</v>
      </c>
      <c r="D5" s="8" t="s">
        <v>113</v>
      </c>
      <c r="E5" s="8"/>
      <c r="F5" s="9">
        <v>0.055797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58" t="s">
        <v>114</v>
      </c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>
      <c r="A6" s="59"/>
      <c r="B6" s="60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>
      <c r="A7" s="50" t="s">
        <v>102</v>
      </c>
      <c r="C7" s="8" t="s">
        <v>113</v>
      </c>
      <c r="D7" s="8" t="s">
        <v>113</v>
      </c>
      <c r="E7" s="8"/>
      <c r="F7" s="8"/>
      <c r="G7" s="9">
        <v>0.045686</v>
      </c>
      <c r="H7" s="9">
        <v>0.045526</v>
      </c>
      <c r="I7" s="9">
        <v>0.04568</v>
      </c>
      <c r="J7" s="9">
        <v>0.045562</v>
      </c>
      <c r="K7" s="9">
        <v>0.045622</v>
      </c>
      <c r="L7" s="9">
        <v>0.045754</v>
      </c>
      <c r="M7" s="9">
        <v>0.045829</v>
      </c>
      <c r="N7" s="9">
        <v>0.045858</v>
      </c>
      <c r="O7" s="9">
        <v>0.046024</v>
      </c>
      <c r="P7" s="9">
        <v>0.046087</v>
      </c>
      <c r="Q7" s="9">
        <v>0.04619</v>
      </c>
      <c r="R7" s="9">
        <v>0.046404</v>
      </c>
      <c r="S7" s="9">
        <v>0.046668</v>
      </c>
      <c r="T7" s="9">
        <v>0.046752</v>
      </c>
      <c r="U7" s="9">
        <v>0.046582</v>
      </c>
      <c r="V7" s="9">
        <v>0.047102</v>
      </c>
      <c r="W7" s="9">
        <v>0.046908</v>
      </c>
      <c r="X7" s="9">
        <v>0.046753</v>
      </c>
      <c r="Y7" s="9">
        <v>0.04714</v>
      </c>
      <c r="Z7" s="8">
        <v>0.046914</v>
      </c>
      <c r="AA7" s="58" t="s">
        <v>115</v>
      </c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>
      <c r="C8" s="8" t="s">
        <v>116</v>
      </c>
      <c r="D8" s="8" t="s">
        <v>117</v>
      </c>
      <c r="E8" s="8" t="s">
        <v>118</v>
      </c>
      <c r="F8" s="9"/>
      <c r="G8" s="9">
        <v>0.58732</v>
      </c>
      <c r="H8" s="9">
        <v>0.82549</v>
      </c>
      <c r="I8" s="9">
        <v>1.062</v>
      </c>
      <c r="J8" s="9">
        <v>1.2995</v>
      </c>
      <c r="K8" s="9">
        <v>1.5477</v>
      </c>
      <c r="L8" s="9">
        <v>1.7996</v>
      </c>
      <c r="M8" s="9">
        <v>2.0433</v>
      </c>
      <c r="N8" s="9">
        <v>2.2843</v>
      </c>
      <c r="O8" s="9">
        <v>2.4859</v>
      </c>
      <c r="P8" s="9">
        <v>2.7305</v>
      </c>
      <c r="Q8" s="9">
        <v>2.9542</v>
      </c>
      <c r="R8" s="9">
        <v>3.177</v>
      </c>
      <c r="S8" s="9">
        <v>3.401</v>
      </c>
      <c r="T8" s="9">
        <v>3.5677</v>
      </c>
      <c r="U8" s="9">
        <v>3.7378</v>
      </c>
      <c r="V8" s="9">
        <v>3.8979</v>
      </c>
      <c r="W8" s="9" t="s">
        <v>106</v>
      </c>
      <c r="X8" s="9" t="s">
        <v>106</v>
      </c>
      <c r="Y8" s="9" t="s">
        <v>106</v>
      </c>
      <c r="Z8" s="9" t="s">
        <v>106</v>
      </c>
      <c r="AA8" s="58" t="s">
        <v>119</v>
      </c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>
      <c r="C9" s="8" t="s">
        <v>116</v>
      </c>
      <c r="D9" s="8" t="s">
        <v>120</v>
      </c>
      <c r="E9" s="8" t="s">
        <v>118</v>
      </c>
      <c r="F9" s="9"/>
      <c r="G9" s="9">
        <v>0.69979</v>
      </c>
      <c r="H9" s="9">
        <v>1.0123</v>
      </c>
      <c r="I9" s="9">
        <v>1.3055</v>
      </c>
      <c r="J9" s="9">
        <v>1.5957</v>
      </c>
      <c r="K9" s="9">
        <v>1.8841</v>
      </c>
      <c r="L9" s="9">
        <v>2.1679</v>
      </c>
      <c r="M9" s="9">
        <v>2.4425</v>
      </c>
      <c r="N9" s="9">
        <v>2.7133</v>
      </c>
      <c r="O9" s="9">
        <v>2.9786</v>
      </c>
      <c r="P9" s="9">
        <v>3.2244</v>
      </c>
      <c r="Q9" s="9">
        <v>3.4376</v>
      </c>
      <c r="R9" s="9">
        <v>3.6527</v>
      </c>
      <c r="S9" s="9">
        <v>3.8147</v>
      </c>
      <c r="T9" s="9">
        <v>3.8701</v>
      </c>
      <c r="U9" s="9">
        <v>3.9434</v>
      </c>
      <c r="V9" s="9" t="s">
        <v>106</v>
      </c>
      <c r="W9" s="9" t="s">
        <v>106</v>
      </c>
      <c r="X9" s="9">
        <v>3.9859</v>
      </c>
      <c r="Y9" s="9">
        <v>3.9732</v>
      </c>
      <c r="Z9" s="9">
        <v>3.9819</v>
      </c>
      <c r="AA9" s="58" t="s">
        <v>121</v>
      </c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>
      <c r="C10" s="8" t="s">
        <v>116</v>
      </c>
      <c r="D10" s="8" t="s">
        <v>122</v>
      </c>
      <c r="E10" s="8" t="s">
        <v>118</v>
      </c>
      <c r="F10" s="9"/>
      <c r="G10" s="9">
        <v>0.72787</v>
      </c>
      <c r="H10" s="9">
        <v>1.0476</v>
      </c>
      <c r="I10" s="9">
        <v>1.3551</v>
      </c>
      <c r="J10" s="9">
        <v>1.6585</v>
      </c>
      <c r="K10" s="9">
        <v>1.9476</v>
      </c>
      <c r="L10" s="9">
        <v>2.2279</v>
      </c>
      <c r="M10" s="9">
        <v>2.4884</v>
      </c>
      <c r="N10" s="9">
        <v>2.7219</v>
      </c>
      <c r="O10" s="9">
        <v>2.9115</v>
      </c>
      <c r="P10" s="9">
        <v>3.0436</v>
      </c>
      <c r="Q10" s="9">
        <v>3.0926</v>
      </c>
      <c r="R10" s="9">
        <v>3.0945</v>
      </c>
      <c r="S10" s="9">
        <v>3.1131</v>
      </c>
      <c r="T10" s="9">
        <v>3.0854</v>
      </c>
      <c r="U10" s="9">
        <v>3.0847</v>
      </c>
      <c r="V10" s="9">
        <v>3.0841</v>
      </c>
      <c r="W10" s="9">
        <v>3.0796</v>
      </c>
      <c r="X10" s="9">
        <v>3.0816</v>
      </c>
      <c r="Y10" s="9">
        <v>3.0689</v>
      </c>
      <c r="Z10" s="9">
        <v>3.0566</v>
      </c>
      <c r="AA10" s="58" t="s">
        <v>123</v>
      </c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>
      <c r="C11" s="8" t="s">
        <v>116</v>
      </c>
      <c r="D11" s="8" t="s">
        <v>124</v>
      </c>
      <c r="E11" s="8" t="s">
        <v>118</v>
      </c>
      <c r="F11" s="9"/>
      <c r="G11" s="9">
        <v>0.69039</v>
      </c>
      <c r="H11" s="9">
        <v>0.9864</v>
      </c>
      <c r="I11" s="9">
        <v>1.2517</v>
      </c>
      <c r="J11" s="9">
        <v>1.4743</v>
      </c>
      <c r="K11" s="9">
        <v>1.6084</v>
      </c>
      <c r="L11" s="9">
        <v>1.6488</v>
      </c>
      <c r="M11" s="9">
        <v>1.6516</v>
      </c>
      <c r="N11" s="9">
        <v>1.6444</v>
      </c>
      <c r="O11" s="9">
        <v>1.6398</v>
      </c>
      <c r="P11" s="9">
        <v>1.6371</v>
      </c>
      <c r="Q11" s="9">
        <v>1.6327</v>
      </c>
      <c r="R11" s="9">
        <v>1.6287</v>
      </c>
      <c r="S11" s="9">
        <v>1.6258</v>
      </c>
      <c r="T11" s="9">
        <v>1.6218</v>
      </c>
      <c r="U11" s="9">
        <v>1.62</v>
      </c>
      <c r="V11" s="9">
        <v>1.6184</v>
      </c>
      <c r="W11" s="9">
        <v>1.614</v>
      </c>
      <c r="X11" s="9">
        <v>1.6105</v>
      </c>
      <c r="Y11" s="9">
        <v>1.606</v>
      </c>
      <c r="Z11" s="9">
        <v>1.6022</v>
      </c>
      <c r="AA11" s="58" t="s">
        <v>125</v>
      </c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>
      <c r="C12" s="8" t="s">
        <v>116</v>
      </c>
      <c r="D12" s="8" t="s">
        <v>126</v>
      </c>
      <c r="E12" s="8" t="s">
        <v>118</v>
      </c>
      <c r="F12" s="9"/>
      <c r="G12" s="9">
        <v>0.64185</v>
      </c>
      <c r="H12" s="9">
        <v>0.88037</v>
      </c>
      <c r="I12" s="9">
        <v>1.0054</v>
      </c>
      <c r="J12" s="9">
        <v>1.0336</v>
      </c>
      <c r="K12" s="9">
        <v>1.0332</v>
      </c>
      <c r="L12" s="9">
        <v>1.0297</v>
      </c>
      <c r="M12" s="9">
        <v>1.026</v>
      </c>
      <c r="N12" s="9">
        <v>1.0221</v>
      </c>
      <c r="O12" s="9">
        <v>1.0201</v>
      </c>
      <c r="P12" s="9">
        <v>1.0183</v>
      </c>
      <c r="Q12" s="9">
        <v>1.0164</v>
      </c>
      <c r="R12" s="9">
        <v>1.0145</v>
      </c>
      <c r="S12" s="9">
        <v>1.013</v>
      </c>
      <c r="T12" s="9">
        <v>1.009</v>
      </c>
      <c r="U12" s="9">
        <v>1.0077</v>
      </c>
      <c r="V12" s="9">
        <v>1.0054</v>
      </c>
      <c r="W12" s="9">
        <v>1.0085</v>
      </c>
      <c r="X12" s="9">
        <v>1.0021</v>
      </c>
      <c r="Y12" s="9">
        <v>0.9996</v>
      </c>
      <c r="Z12" s="9">
        <v>0.99736</v>
      </c>
      <c r="AA12" s="58" t="s">
        <v>127</v>
      </c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>
      <c r="C13" s="8" t="s">
        <v>116</v>
      </c>
      <c r="D13" s="8" t="s">
        <v>128</v>
      </c>
      <c r="E13" s="8" t="s">
        <v>118</v>
      </c>
      <c r="F13" s="9"/>
      <c r="G13" s="9">
        <v>0.48984</v>
      </c>
      <c r="H13" s="9">
        <v>0.58486</v>
      </c>
      <c r="I13" s="9">
        <v>0.59284</v>
      </c>
      <c r="J13" s="9">
        <v>0.58569</v>
      </c>
      <c r="K13" s="9">
        <v>0.58252</v>
      </c>
      <c r="L13" s="9">
        <v>0.57955</v>
      </c>
      <c r="M13" s="9">
        <v>0.57649</v>
      </c>
      <c r="N13" s="9">
        <v>0.57459</v>
      </c>
      <c r="O13" s="9">
        <v>0.5742</v>
      </c>
      <c r="P13" s="9">
        <v>0.57276</v>
      </c>
      <c r="Q13" s="9">
        <v>0.57142</v>
      </c>
      <c r="R13" s="9">
        <v>0.56977</v>
      </c>
      <c r="S13" s="9">
        <v>0.56871</v>
      </c>
      <c r="T13" s="9">
        <v>0.5664</v>
      </c>
      <c r="U13" s="9">
        <v>0.56699</v>
      </c>
      <c r="V13" s="9">
        <v>0.56639</v>
      </c>
      <c r="W13" s="9">
        <v>0.56464</v>
      </c>
      <c r="X13" s="9">
        <v>0.5634</v>
      </c>
      <c r="Y13" s="9">
        <v>0.56202</v>
      </c>
      <c r="Z13" s="9">
        <v>0.56212</v>
      </c>
      <c r="AA13" s="58" t="s">
        <v>129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>
      <c r="C14" s="8" t="s">
        <v>116</v>
      </c>
      <c r="D14" s="8" t="s">
        <v>130</v>
      </c>
      <c r="E14" s="8" t="s">
        <v>118</v>
      </c>
      <c r="F14" s="9"/>
      <c r="G14" s="9">
        <v>0.33473</v>
      </c>
      <c r="H14" s="9">
        <v>0.36351</v>
      </c>
      <c r="I14" s="9">
        <v>0.35826</v>
      </c>
      <c r="J14" s="9">
        <v>0.35323</v>
      </c>
      <c r="K14" s="9">
        <v>0.35009</v>
      </c>
      <c r="L14" s="9">
        <v>0.34859</v>
      </c>
      <c r="M14" s="9">
        <v>0.3467</v>
      </c>
      <c r="N14" s="9">
        <v>0.34488</v>
      </c>
      <c r="O14" s="9">
        <v>0.34396</v>
      </c>
      <c r="P14" s="9">
        <v>0.34283</v>
      </c>
      <c r="Q14" s="9">
        <v>0.34192</v>
      </c>
      <c r="R14" s="9">
        <v>0.34098</v>
      </c>
      <c r="S14" s="9">
        <v>0.33979</v>
      </c>
      <c r="T14" s="9">
        <v>0.33849</v>
      </c>
      <c r="U14" s="9">
        <v>0.33875</v>
      </c>
      <c r="V14" s="9">
        <v>0.33804</v>
      </c>
      <c r="W14" s="9">
        <v>0.33754</v>
      </c>
      <c r="X14" s="9">
        <v>0.33659</v>
      </c>
      <c r="Y14" s="9">
        <v>0.3362</v>
      </c>
      <c r="Z14" s="9">
        <v>0.33552</v>
      </c>
      <c r="AA14" s="58" t="s">
        <v>131</v>
      </c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>
      <c r="C15" s="8" t="s">
        <v>116</v>
      </c>
      <c r="D15" s="23" t="s">
        <v>132</v>
      </c>
      <c r="E15" s="8" t="s">
        <v>118</v>
      </c>
      <c r="F15" s="9"/>
      <c r="G15" s="9">
        <v>0.20436</v>
      </c>
      <c r="H15" s="9">
        <v>0.22025</v>
      </c>
      <c r="I15" s="9">
        <v>0.22222</v>
      </c>
      <c r="J15" s="9">
        <v>0.22114</v>
      </c>
      <c r="K15" s="9">
        <v>0.22017</v>
      </c>
      <c r="L15" s="9">
        <v>0.21867</v>
      </c>
      <c r="M15" s="9">
        <v>0.2153</v>
      </c>
      <c r="N15" s="9">
        <v>0.21306</v>
      </c>
      <c r="O15" s="9">
        <v>0.2105</v>
      </c>
      <c r="P15" s="9">
        <v>0.21114</v>
      </c>
      <c r="Q15" s="9">
        <v>0.20948</v>
      </c>
      <c r="R15" s="9">
        <v>0.20924</v>
      </c>
      <c r="S15" s="9">
        <v>0.20565</v>
      </c>
      <c r="T15" s="9">
        <v>0.20546</v>
      </c>
      <c r="U15" s="9">
        <v>0.20504</v>
      </c>
      <c r="V15" s="9">
        <v>0.20468</v>
      </c>
      <c r="W15" s="9">
        <v>0.20456</v>
      </c>
      <c r="X15" s="9">
        <v>0.20343</v>
      </c>
      <c r="Y15" s="9">
        <v>0.20309</v>
      </c>
      <c r="Z15" s="9">
        <v>0.20397</v>
      </c>
      <c r="AA15" s="58" t="s">
        <v>133</v>
      </c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 t="s">
        <v>134</v>
      </c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>
      <c r="A17" s="61" t="s">
        <v>135</v>
      </c>
      <c r="C17" s="62" t="s">
        <v>116</v>
      </c>
      <c r="D17" s="62" t="s">
        <v>136</v>
      </c>
      <c r="E17" s="62" t="s">
        <v>118</v>
      </c>
      <c r="F17" s="9"/>
      <c r="G17" s="63">
        <f t="shared" ref="G17:G24" si="1">G8-0.045686</f>
        <v>0.541634</v>
      </c>
      <c r="H17" s="63">
        <f t="shared" ref="H17:H24" si="2">H8-0.045526</f>
        <v>0.779964</v>
      </c>
      <c r="I17" s="63">
        <f t="shared" ref="I17:I24" si="3">I8-0.04568</f>
        <v>1.01632</v>
      </c>
      <c r="J17" s="63">
        <f t="shared" ref="J17:J24" si="4">J8-0.045562</f>
        <v>1.253938</v>
      </c>
      <c r="K17" s="63">
        <f t="shared" ref="K17:K24" si="5">K8-0.045622</f>
        <v>1.502078</v>
      </c>
      <c r="L17" s="63">
        <f t="shared" ref="L17:L24" si="6">L8-0.045754</f>
        <v>1.753846</v>
      </c>
      <c r="M17" s="63">
        <f t="shared" ref="M17:M24" si="7">M8-0.045829</f>
        <v>1.997471</v>
      </c>
      <c r="N17" s="63">
        <f t="shared" ref="N17:N24" si="8">N8-0.045858</f>
        <v>2.238442</v>
      </c>
      <c r="O17" s="63">
        <f t="shared" ref="O17:O24" si="9">O8-0.046024</f>
        <v>2.439876</v>
      </c>
      <c r="P17" s="63">
        <f t="shared" ref="P17:P24" si="10">P8-0.046087</f>
        <v>2.684413</v>
      </c>
      <c r="Q17" s="63">
        <f t="shared" ref="Q17:Q24" si="11">Q8-0.04619</f>
        <v>2.90801</v>
      </c>
      <c r="R17" s="63">
        <f t="shared" ref="R17:R24" si="12">R8-0.046404</f>
        <v>3.130596</v>
      </c>
      <c r="S17" s="63">
        <f t="shared" ref="S17:S24" si="13">S8-0.046668</f>
        <v>3.354332</v>
      </c>
      <c r="T17" s="63">
        <f t="shared" ref="T17:T24" si="14">T8-0.046752</f>
        <v>3.520948</v>
      </c>
      <c r="U17" s="63">
        <f t="shared" ref="U17:U24" si="15">U8-0.046582</f>
        <v>3.691218</v>
      </c>
      <c r="V17" s="63">
        <f>V8-0.047102</f>
        <v>3.850798</v>
      </c>
      <c r="W17" s="9" t="s">
        <v>106</v>
      </c>
      <c r="X17" s="9" t="s">
        <v>106</v>
      </c>
      <c r="Y17" s="9" t="s">
        <v>106</v>
      </c>
      <c r="Z17" s="9" t="s">
        <v>106</v>
      </c>
      <c r="AA17" s="58" t="s">
        <v>119</v>
      </c>
      <c r="AB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>
      <c r="C18" s="62" t="s">
        <v>116</v>
      </c>
      <c r="D18" s="62" t="s">
        <v>120</v>
      </c>
      <c r="E18" s="62" t="s">
        <v>118</v>
      </c>
      <c r="F18" s="8"/>
      <c r="G18" s="63">
        <f t="shared" si="1"/>
        <v>0.654104</v>
      </c>
      <c r="H18" s="63">
        <f t="shared" si="2"/>
        <v>0.966774</v>
      </c>
      <c r="I18" s="63">
        <f t="shared" si="3"/>
        <v>1.25982</v>
      </c>
      <c r="J18" s="63">
        <f t="shared" si="4"/>
        <v>1.550138</v>
      </c>
      <c r="K18" s="63">
        <f t="shared" si="5"/>
        <v>1.838478</v>
      </c>
      <c r="L18" s="63">
        <f t="shared" si="6"/>
        <v>2.122146</v>
      </c>
      <c r="M18" s="63">
        <f t="shared" si="7"/>
        <v>2.396671</v>
      </c>
      <c r="N18" s="63">
        <f t="shared" si="8"/>
        <v>2.667442</v>
      </c>
      <c r="O18" s="63">
        <f t="shared" si="9"/>
        <v>2.932576</v>
      </c>
      <c r="P18" s="63">
        <f t="shared" si="10"/>
        <v>3.178313</v>
      </c>
      <c r="Q18" s="63">
        <f t="shared" si="11"/>
        <v>3.39141</v>
      </c>
      <c r="R18" s="63">
        <f t="shared" si="12"/>
        <v>3.606296</v>
      </c>
      <c r="S18" s="63">
        <f t="shared" si="13"/>
        <v>3.768032</v>
      </c>
      <c r="T18" s="63">
        <f t="shared" si="14"/>
        <v>3.823348</v>
      </c>
      <c r="U18" s="63">
        <f t="shared" si="15"/>
        <v>3.896818</v>
      </c>
      <c r="V18" s="9" t="s">
        <v>106</v>
      </c>
      <c r="W18" s="9" t="s">
        <v>106</v>
      </c>
      <c r="X18" s="63">
        <f t="shared" ref="X18:X24" si="16">X9-0.046753</f>
        <v>3.939147</v>
      </c>
      <c r="Y18" s="63">
        <f t="shared" ref="Y18:Y24" si="17">Y9-0.04714</f>
        <v>3.92606</v>
      </c>
      <c r="Z18" s="63">
        <f t="shared" ref="Z18:Z24" si="18">Z9-0.046914</f>
        <v>3.934986</v>
      </c>
      <c r="AA18" s="58" t="s">
        <v>121</v>
      </c>
      <c r="AB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>
      <c r="C19" s="62" t="s">
        <v>116</v>
      </c>
      <c r="D19" s="62" t="s">
        <v>122</v>
      </c>
      <c r="E19" s="62" t="s">
        <v>118</v>
      </c>
      <c r="F19" s="8"/>
      <c r="G19" s="63">
        <f t="shared" si="1"/>
        <v>0.682184</v>
      </c>
      <c r="H19" s="63">
        <f t="shared" si="2"/>
        <v>1.002074</v>
      </c>
      <c r="I19" s="63">
        <f t="shared" si="3"/>
        <v>1.30942</v>
      </c>
      <c r="J19" s="63">
        <f t="shared" si="4"/>
        <v>1.612938</v>
      </c>
      <c r="K19" s="63">
        <f t="shared" si="5"/>
        <v>1.901978</v>
      </c>
      <c r="L19" s="63">
        <f t="shared" si="6"/>
        <v>2.182146</v>
      </c>
      <c r="M19" s="63">
        <f t="shared" si="7"/>
        <v>2.442571</v>
      </c>
      <c r="N19" s="63">
        <f t="shared" si="8"/>
        <v>2.676042</v>
      </c>
      <c r="O19" s="63">
        <f t="shared" si="9"/>
        <v>2.865476</v>
      </c>
      <c r="P19" s="63">
        <f t="shared" si="10"/>
        <v>2.997513</v>
      </c>
      <c r="Q19" s="63">
        <f t="shared" si="11"/>
        <v>3.04641</v>
      </c>
      <c r="R19" s="63">
        <f t="shared" si="12"/>
        <v>3.048096</v>
      </c>
      <c r="S19" s="63">
        <f t="shared" si="13"/>
        <v>3.066432</v>
      </c>
      <c r="T19" s="63">
        <f t="shared" si="14"/>
        <v>3.038648</v>
      </c>
      <c r="U19" s="63">
        <f t="shared" si="15"/>
        <v>3.038118</v>
      </c>
      <c r="V19" s="63">
        <f t="shared" ref="V19:V24" si="19">V10-0.047102</f>
        <v>3.036998</v>
      </c>
      <c r="W19" s="63">
        <f t="shared" ref="W19:W24" si="20">W10-0.046908</f>
        <v>3.032692</v>
      </c>
      <c r="X19" s="63">
        <f t="shared" si="16"/>
        <v>3.034847</v>
      </c>
      <c r="Y19" s="63">
        <f t="shared" si="17"/>
        <v>3.02176</v>
      </c>
      <c r="Z19" s="63">
        <f t="shared" si="18"/>
        <v>3.009686</v>
      </c>
      <c r="AA19" s="58" t="s">
        <v>123</v>
      </c>
      <c r="AB19" s="8"/>
      <c r="AC19" s="64" t="s">
        <v>137</v>
      </c>
      <c r="AD19" s="12"/>
      <c r="AE19" s="12"/>
      <c r="AF19" s="12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>
      <c r="C20" s="62" t="s">
        <v>116</v>
      </c>
      <c r="D20" s="62" t="s">
        <v>124</v>
      </c>
      <c r="E20" s="62" t="s">
        <v>118</v>
      </c>
      <c r="F20" s="8"/>
      <c r="G20" s="63">
        <f t="shared" si="1"/>
        <v>0.644704</v>
      </c>
      <c r="H20" s="63">
        <f t="shared" si="2"/>
        <v>0.940874</v>
      </c>
      <c r="I20" s="63">
        <f t="shared" si="3"/>
        <v>1.20602</v>
      </c>
      <c r="J20" s="63">
        <f t="shared" si="4"/>
        <v>1.428738</v>
      </c>
      <c r="K20" s="63">
        <f t="shared" si="5"/>
        <v>1.562778</v>
      </c>
      <c r="L20" s="63">
        <f t="shared" si="6"/>
        <v>1.603046</v>
      </c>
      <c r="M20" s="63">
        <f t="shared" si="7"/>
        <v>1.605771</v>
      </c>
      <c r="N20" s="63">
        <f t="shared" si="8"/>
        <v>1.598542</v>
      </c>
      <c r="O20" s="63">
        <f t="shared" si="9"/>
        <v>1.593776</v>
      </c>
      <c r="P20" s="63">
        <f t="shared" si="10"/>
        <v>1.591013</v>
      </c>
      <c r="Q20" s="63">
        <f t="shared" si="11"/>
        <v>1.58651</v>
      </c>
      <c r="R20" s="63">
        <f t="shared" si="12"/>
        <v>1.582296</v>
      </c>
      <c r="S20" s="63">
        <f t="shared" si="13"/>
        <v>1.579132</v>
      </c>
      <c r="T20" s="63">
        <f t="shared" si="14"/>
        <v>1.575048</v>
      </c>
      <c r="U20" s="63">
        <f t="shared" si="15"/>
        <v>1.573418</v>
      </c>
      <c r="V20" s="63">
        <f t="shared" si="19"/>
        <v>1.571298</v>
      </c>
      <c r="W20" s="63">
        <f t="shared" si="20"/>
        <v>1.567092</v>
      </c>
      <c r="X20" s="63">
        <f t="shared" si="16"/>
        <v>1.563747</v>
      </c>
      <c r="Y20" s="63">
        <f t="shared" si="17"/>
        <v>1.55886</v>
      </c>
      <c r="Z20" s="63">
        <f t="shared" si="18"/>
        <v>1.555286</v>
      </c>
      <c r="AA20" s="58" t="s">
        <v>125</v>
      </c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>
      <c r="C21" s="62" t="s">
        <v>116</v>
      </c>
      <c r="D21" s="62" t="s">
        <v>126</v>
      </c>
      <c r="E21" s="62" t="s">
        <v>118</v>
      </c>
      <c r="F21" s="8"/>
      <c r="G21" s="63">
        <f t="shared" si="1"/>
        <v>0.596164</v>
      </c>
      <c r="H21" s="63">
        <f t="shared" si="2"/>
        <v>0.834844</v>
      </c>
      <c r="I21" s="63">
        <f t="shared" si="3"/>
        <v>0.95972</v>
      </c>
      <c r="J21" s="63">
        <f t="shared" si="4"/>
        <v>0.988038</v>
      </c>
      <c r="K21" s="63">
        <f t="shared" si="5"/>
        <v>0.987578</v>
      </c>
      <c r="L21" s="63">
        <f t="shared" si="6"/>
        <v>0.983946</v>
      </c>
      <c r="M21" s="63">
        <f t="shared" si="7"/>
        <v>0.980171</v>
      </c>
      <c r="N21" s="63">
        <f t="shared" si="8"/>
        <v>0.976242</v>
      </c>
      <c r="O21" s="63">
        <f t="shared" si="9"/>
        <v>0.974076</v>
      </c>
      <c r="P21" s="63">
        <f t="shared" si="10"/>
        <v>0.972213</v>
      </c>
      <c r="Q21" s="63">
        <f t="shared" si="11"/>
        <v>0.97021</v>
      </c>
      <c r="R21" s="63">
        <f t="shared" si="12"/>
        <v>0.968096</v>
      </c>
      <c r="S21" s="63">
        <f t="shared" si="13"/>
        <v>0.966332</v>
      </c>
      <c r="T21" s="63">
        <f t="shared" si="14"/>
        <v>0.962248</v>
      </c>
      <c r="U21" s="63">
        <f t="shared" si="15"/>
        <v>0.961118</v>
      </c>
      <c r="V21" s="63">
        <f t="shared" si="19"/>
        <v>0.958298</v>
      </c>
      <c r="W21" s="63">
        <f t="shared" si="20"/>
        <v>0.961592</v>
      </c>
      <c r="X21" s="63">
        <f t="shared" si="16"/>
        <v>0.955347</v>
      </c>
      <c r="Y21" s="63">
        <f t="shared" si="17"/>
        <v>0.95246</v>
      </c>
      <c r="Z21" s="63">
        <f t="shared" si="18"/>
        <v>0.950446</v>
      </c>
      <c r="AA21" s="58" t="s">
        <v>127</v>
      </c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>
      <c r="C22" s="62" t="s">
        <v>116</v>
      </c>
      <c r="D22" s="62" t="s">
        <v>128</v>
      </c>
      <c r="E22" s="62" t="s">
        <v>118</v>
      </c>
      <c r="F22" s="8"/>
      <c r="G22" s="63">
        <f t="shared" si="1"/>
        <v>0.444154</v>
      </c>
      <c r="H22" s="63">
        <f t="shared" si="2"/>
        <v>0.539334</v>
      </c>
      <c r="I22" s="63">
        <f t="shared" si="3"/>
        <v>0.54716</v>
      </c>
      <c r="J22" s="63">
        <f t="shared" si="4"/>
        <v>0.540128</v>
      </c>
      <c r="K22" s="63">
        <f t="shared" si="5"/>
        <v>0.536898</v>
      </c>
      <c r="L22" s="63">
        <f t="shared" si="6"/>
        <v>0.533796</v>
      </c>
      <c r="M22" s="63">
        <f t="shared" si="7"/>
        <v>0.530661</v>
      </c>
      <c r="N22" s="63">
        <f t="shared" si="8"/>
        <v>0.528732</v>
      </c>
      <c r="O22" s="63">
        <f t="shared" si="9"/>
        <v>0.528176</v>
      </c>
      <c r="P22" s="63">
        <f t="shared" si="10"/>
        <v>0.526673</v>
      </c>
      <c r="Q22" s="63">
        <f t="shared" si="11"/>
        <v>0.52523</v>
      </c>
      <c r="R22" s="63">
        <f t="shared" si="12"/>
        <v>0.523366</v>
      </c>
      <c r="S22" s="63">
        <f t="shared" si="13"/>
        <v>0.522042</v>
      </c>
      <c r="T22" s="63">
        <f t="shared" si="14"/>
        <v>0.519648</v>
      </c>
      <c r="U22" s="63">
        <f t="shared" si="15"/>
        <v>0.520408</v>
      </c>
      <c r="V22" s="63">
        <f t="shared" si="19"/>
        <v>0.519288</v>
      </c>
      <c r="W22" s="63">
        <f t="shared" si="20"/>
        <v>0.517732</v>
      </c>
      <c r="X22" s="63">
        <f t="shared" si="16"/>
        <v>0.516647</v>
      </c>
      <c r="Y22" s="63">
        <f t="shared" si="17"/>
        <v>0.51488</v>
      </c>
      <c r="Z22" s="63">
        <f t="shared" si="18"/>
        <v>0.515206</v>
      </c>
      <c r="AA22" s="58" t="s">
        <v>129</v>
      </c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>
      <c r="C23" s="62" t="s">
        <v>116</v>
      </c>
      <c r="D23" s="62" t="s">
        <v>130</v>
      </c>
      <c r="E23" s="62" t="s">
        <v>118</v>
      </c>
      <c r="F23" s="8"/>
      <c r="G23" s="63">
        <f t="shared" si="1"/>
        <v>0.289044</v>
      </c>
      <c r="H23" s="63">
        <f t="shared" si="2"/>
        <v>0.317984</v>
      </c>
      <c r="I23" s="63">
        <f t="shared" si="3"/>
        <v>0.31258</v>
      </c>
      <c r="J23" s="63">
        <f t="shared" si="4"/>
        <v>0.307668</v>
      </c>
      <c r="K23" s="63">
        <f t="shared" si="5"/>
        <v>0.304468</v>
      </c>
      <c r="L23" s="63">
        <f t="shared" si="6"/>
        <v>0.302836</v>
      </c>
      <c r="M23" s="63">
        <f t="shared" si="7"/>
        <v>0.300871</v>
      </c>
      <c r="N23" s="63">
        <f t="shared" si="8"/>
        <v>0.299022</v>
      </c>
      <c r="O23" s="63">
        <f t="shared" si="9"/>
        <v>0.297936</v>
      </c>
      <c r="P23" s="63">
        <f t="shared" si="10"/>
        <v>0.296743</v>
      </c>
      <c r="Q23" s="63">
        <f t="shared" si="11"/>
        <v>0.29573</v>
      </c>
      <c r="R23" s="63">
        <f t="shared" si="12"/>
        <v>0.294576</v>
      </c>
      <c r="S23" s="63">
        <f t="shared" si="13"/>
        <v>0.293122</v>
      </c>
      <c r="T23" s="63">
        <f t="shared" si="14"/>
        <v>0.291738</v>
      </c>
      <c r="U23" s="63">
        <f t="shared" si="15"/>
        <v>0.292168</v>
      </c>
      <c r="V23" s="63">
        <f t="shared" si="19"/>
        <v>0.290938</v>
      </c>
      <c r="W23" s="63">
        <f t="shared" si="20"/>
        <v>0.290632</v>
      </c>
      <c r="X23" s="63">
        <f t="shared" si="16"/>
        <v>0.289837</v>
      </c>
      <c r="Y23" s="63">
        <f t="shared" si="17"/>
        <v>0.28906</v>
      </c>
      <c r="Z23" s="63">
        <f t="shared" si="18"/>
        <v>0.288606</v>
      </c>
      <c r="AA23" s="58" t="s">
        <v>131</v>
      </c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>
      <c r="C24" s="62" t="s">
        <v>116</v>
      </c>
      <c r="D24" s="62" t="s">
        <v>132</v>
      </c>
      <c r="E24" s="62" t="s">
        <v>118</v>
      </c>
      <c r="F24" s="8"/>
      <c r="G24" s="63">
        <f t="shared" si="1"/>
        <v>0.158674</v>
      </c>
      <c r="H24" s="63">
        <f t="shared" si="2"/>
        <v>0.174724</v>
      </c>
      <c r="I24" s="63">
        <f t="shared" si="3"/>
        <v>0.17654</v>
      </c>
      <c r="J24" s="63">
        <f t="shared" si="4"/>
        <v>0.175578</v>
      </c>
      <c r="K24" s="63">
        <f t="shared" si="5"/>
        <v>0.174548</v>
      </c>
      <c r="L24" s="63">
        <f t="shared" si="6"/>
        <v>0.172916</v>
      </c>
      <c r="M24" s="63">
        <f t="shared" si="7"/>
        <v>0.169471</v>
      </c>
      <c r="N24" s="63">
        <f t="shared" si="8"/>
        <v>0.167202</v>
      </c>
      <c r="O24" s="63">
        <f t="shared" si="9"/>
        <v>0.164476</v>
      </c>
      <c r="P24" s="63">
        <f t="shared" si="10"/>
        <v>0.165053</v>
      </c>
      <c r="Q24" s="63">
        <f t="shared" si="11"/>
        <v>0.16329</v>
      </c>
      <c r="R24" s="63">
        <f t="shared" si="12"/>
        <v>0.162836</v>
      </c>
      <c r="S24" s="63">
        <f t="shared" si="13"/>
        <v>0.158982</v>
      </c>
      <c r="T24" s="63">
        <f t="shared" si="14"/>
        <v>0.158708</v>
      </c>
      <c r="U24" s="63">
        <f t="shared" si="15"/>
        <v>0.158458</v>
      </c>
      <c r="V24" s="63">
        <f t="shared" si="19"/>
        <v>0.157578</v>
      </c>
      <c r="W24" s="63">
        <f t="shared" si="20"/>
        <v>0.157652</v>
      </c>
      <c r="X24" s="63">
        <f t="shared" si="16"/>
        <v>0.156677</v>
      </c>
      <c r="Y24" s="63">
        <f t="shared" si="17"/>
        <v>0.15595</v>
      </c>
      <c r="Z24" s="63">
        <f t="shared" si="18"/>
        <v>0.157056</v>
      </c>
      <c r="AA24" s="58" t="s">
        <v>133</v>
      </c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>
      <c r="A25" s="8"/>
      <c r="B25" s="6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>
      <c r="A26" s="61" t="s">
        <v>138</v>
      </c>
      <c r="C26" s="8" t="s">
        <v>116</v>
      </c>
      <c r="D26" s="8" t="s">
        <v>117</v>
      </c>
      <c r="E26" s="8" t="s">
        <v>118</v>
      </c>
      <c r="F26" s="55" t="s">
        <v>139</v>
      </c>
      <c r="G26" s="66">
        <f>41/60</f>
        <v>0.6833333333</v>
      </c>
      <c r="H26" s="66">
        <f t="shared" ref="H26:Z26" si="21">G26+0.5</f>
        <v>1.183333333</v>
      </c>
      <c r="I26" s="66">
        <f t="shared" si="21"/>
        <v>1.683333333</v>
      </c>
      <c r="J26" s="66">
        <f t="shared" si="21"/>
        <v>2.183333333</v>
      </c>
      <c r="K26" s="66">
        <f t="shared" si="21"/>
        <v>2.683333333</v>
      </c>
      <c r="L26" s="66">
        <f t="shared" si="21"/>
        <v>3.183333333</v>
      </c>
      <c r="M26" s="66">
        <f t="shared" si="21"/>
        <v>3.683333333</v>
      </c>
      <c r="N26" s="66">
        <f t="shared" si="21"/>
        <v>4.183333333</v>
      </c>
      <c r="O26" s="66">
        <f t="shared" si="21"/>
        <v>4.683333333</v>
      </c>
      <c r="P26" s="66">
        <f t="shared" si="21"/>
        <v>5.183333333</v>
      </c>
      <c r="Q26" s="66">
        <f t="shared" si="21"/>
        <v>5.683333333</v>
      </c>
      <c r="R26" s="66">
        <f t="shared" si="21"/>
        <v>6.183333333</v>
      </c>
      <c r="S26" s="66">
        <f t="shared" si="21"/>
        <v>6.683333333</v>
      </c>
      <c r="T26" s="66">
        <f t="shared" si="21"/>
        <v>7.183333333</v>
      </c>
      <c r="U26" s="66">
        <f t="shared" si="21"/>
        <v>7.683333333</v>
      </c>
      <c r="V26" s="66">
        <f t="shared" si="21"/>
        <v>8.183333333</v>
      </c>
      <c r="W26" s="66">
        <f t="shared" si="21"/>
        <v>8.683333333</v>
      </c>
      <c r="X26" s="66">
        <f t="shared" si="21"/>
        <v>9.183333333</v>
      </c>
      <c r="Y26" s="66">
        <f t="shared" si="21"/>
        <v>9.683333333</v>
      </c>
      <c r="Z26" s="66">
        <f t="shared" si="21"/>
        <v>10.18333333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>
      <c r="C27" s="8" t="s">
        <v>116</v>
      </c>
      <c r="D27" s="8" t="s">
        <v>120</v>
      </c>
      <c r="E27" s="8" t="s">
        <v>118</v>
      </c>
      <c r="F27" s="55" t="s">
        <v>139</v>
      </c>
      <c r="G27" s="66">
        <f>38/60</f>
        <v>0.6333333333</v>
      </c>
      <c r="H27" s="66">
        <f t="shared" ref="H27:Z27" si="22">G27+0.5</f>
        <v>1.133333333</v>
      </c>
      <c r="I27" s="66">
        <f t="shared" si="22"/>
        <v>1.633333333</v>
      </c>
      <c r="J27" s="66">
        <f t="shared" si="22"/>
        <v>2.133333333</v>
      </c>
      <c r="K27" s="66">
        <f t="shared" si="22"/>
        <v>2.633333333</v>
      </c>
      <c r="L27" s="66">
        <f t="shared" si="22"/>
        <v>3.133333333</v>
      </c>
      <c r="M27" s="66">
        <f t="shared" si="22"/>
        <v>3.633333333</v>
      </c>
      <c r="N27" s="66">
        <f t="shared" si="22"/>
        <v>4.133333333</v>
      </c>
      <c r="O27" s="66">
        <f t="shared" si="22"/>
        <v>4.633333333</v>
      </c>
      <c r="P27" s="66">
        <f t="shared" si="22"/>
        <v>5.133333333</v>
      </c>
      <c r="Q27" s="66">
        <f t="shared" si="22"/>
        <v>5.633333333</v>
      </c>
      <c r="R27" s="66">
        <f t="shared" si="22"/>
        <v>6.133333333</v>
      </c>
      <c r="S27" s="66">
        <f t="shared" si="22"/>
        <v>6.633333333</v>
      </c>
      <c r="T27" s="66">
        <f t="shared" si="22"/>
        <v>7.133333333</v>
      </c>
      <c r="U27" s="66">
        <f t="shared" si="22"/>
        <v>7.633333333</v>
      </c>
      <c r="V27" s="66">
        <f t="shared" si="22"/>
        <v>8.133333333</v>
      </c>
      <c r="W27" s="66">
        <f t="shared" si="22"/>
        <v>8.633333333</v>
      </c>
      <c r="X27" s="66">
        <f t="shared" si="22"/>
        <v>9.133333333</v>
      </c>
      <c r="Y27" s="66">
        <f t="shared" si="22"/>
        <v>9.633333333</v>
      </c>
      <c r="Z27" s="66">
        <f t="shared" si="22"/>
        <v>10.13333333</v>
      </c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>
      <c r="C28" s="8" t="s">
        <v>116</v>
      </c>
      <c r="D28" s="8" t="s">
        <v>122</v>
      </c>
      <c r="E28" s="8" t="s">
        <v>118</v>
      </c>
      <c r="F28" s="55" t="s">
        <v>139</v>
      </c>
      <c r="G28" s="66">
        <f>35/60</f>
        <v>0.5833333333</v>
      </c>
      <c r="H28" s="66">
        <f t="shared" ref="H28:Z28" si="23">G28+0.5</f>
        <v>1.083333333</v>
      </c>
      <c r="I28" s="66">
        <f t="shared" si="23"/>
        <v>1.583333333</v>
      </c>
      <c r="J28" s="66">
        <f t="shared" si="23"/>
        <v>2.083333333</v>
      </c>
      <c r="K28" s="66">
        <f t="shared" si="23"/>
        <v>2.583333333</v>
      </c>
      <c r="L28" s="66">
        <f t="shared" si="23"/>
        <v>3.083333333</v>
      </c>
      <c r="M28" s="66">
        <f t="shared" si="23"/>
        <v>3.583333333</v>
      </c>
      <c r="N28" s="66">
        <f t="shared" si="23"/>
        <v>4.083333333</v>
      </c>
      <c r="O28" s="66">
        <f t="shared" si="23"/>
        <v>4.583333333</v>
      </c>
      <c r="P28" s="66">
        <f t="shared" si="23"/>
        <v>5.083333333</v>
      </c>
      <c r="Q28" s="66">
        <f t="shared" si="23"/>
        <v>5.583333333</v>
      </c>
      <c r="R28" s="66">
        <f t="shared" si="23"/>
        <v>6.083333333</v>
      </c>
      <c r="S28" s="66">
        <f t="shared" si="23"/>
        <v>6.583333333</v>
      </c>
      <c r="T28" s="66">
        <f t="shared" si="23"/>
        <v>7.083333333</v>
      </c>
      <c r="U28" s="66">
        <f t="shared" si="23"/>
        <v>7.583333333</v>
      </c>
      <c r="V28" s="66">
        <f t="shared" si="23"/>
        <v>8.083333333</v>
      </c>
      <c r="W28" s="66">
        <f t="shared" si="23"/>
        <v>8.583333333</v>
      </c>
      <c r="X28" s="66">
        <f t="shared" si="23"/>
        <v>9.083333333</v>
      </c>
      <c r="Y28" s="66">
        <f t="shared" si="23"/>
        <v>9.583333333</v>
      </c>
      <c r="Z28" s="66">
        <f t="shared" si="23"/>
        <v>10.08333333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>
      <c r="C29" s="8" t="s">
        <v>116</v>
      </c>
      <c r="D29" s="8" t="s">
        <v>124</v>
      </c>
      <c r="E29" s="8" t="s">
        <v>118</v>
      </c>
      <c r="F29" s="55" t="s">
        <v>139</v>
      </c>
      <c r="G29" s="66">
        <f>32/60</f>
        <v>0.5333333333</v>
      </c>
      <c r="H29" s="66">
        <f t="shared" ref="H29:Z29" si="24">G29+0.5</f>
        <v>1.033333333</v>
      </c>
      <c r="I29" s="66">
        <f t="shared" si="24"/>
        <v>1.533333333</v>
      </c>
      <c r="J29" s="66">
        <f t="shared" si="24"/>
        <v>2.033333333</v>
      </c>
      <c r="K29" s="66">
        <f t="shared" si="24"/>
        <v>2.533333333</v>
      </c>
      <c r="L29" s="66">
        <f t="shared" si="24"/>
        <v>3.033333333</v>
      </c>
      <c r="M29" s="66">
        <f t="shared" si="24"/>
        <v>3.533333333</v>
      </c>
      <c r="N29" s="66">
        <f t="shared" si="24"/>
        <v>4.033333333</v>
      </c>
      <c r="O29" s="66">
        <f t="shared" si="24"/>
        <v>4.533333333</v>
      </c>
      <c r="P29" s="66">
        <f t="shared" si="24"/>
        <v>5.033333333</v>
      </c>
      <c r="Q29" s="66">
        <f t="shared" si="24"/>
        <v>5.533333333</v>
      </c>
      <c r="R29" s="66">
        <f t="shared" si="24"/>
        <v>6.033333333</v>
      </c>
      <c r="S29" s="66">
        <f t="shared" si="24"/>
        <v>6.533333333</v>
      </c>
      <c r="T29" s="66">
        <f t="shared" si="24"/>
        <v>7.033333333</v>
      </c>
      <c r="U29" s="66">
        <f t="shared" si="24"/>
        <v>7.533333333</v>
      </c>
      <c r="V29" s="66">
        <f t="shared" si="24"/>
        <v>8.033333333</v>
      </c>
      <c r="W29" s="66">
        <f t="shared" si="24"/>
        <v>8.533333333</v>
      </c>
      <c r="X29" s="66">
        <f t="shared" si="24"/>
        <v>9.033333333</v>
      </c>
      <c r="Y29" s="66">
        <f t="shared" si="24"/>
        <v>9.533333333</v>
      </c>
      <c r="Z29" s="66">
        <f t="shared" si="24"/>
        <v>10.03333333</v>
      </c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>
      <c r="C30" s="8" t="s">
        <v>116</v>
      </c>
      <c r="D30" s="8" t="s">
        <v>126</v>
      </c>
      <c r="E30" s="8" t="s">
        <v>118</v>
      </c>
      <c r="F30" s="55" t="s">
        <v>139</v>
      </c>
      <c r="G30" s="66">
        <f>29/60</f>
        <v>0.4833333333</v>
      </c>
      <c r="H30" s="66">
        <f t="shared" ref="H30:Z30" si="25">G30+0.5</f>
        <v>0.9833333333</v>
      </c>
      <c r="I30" s="66">
        <f t="shared" si="25"/>
        <v>1.483333333</v>
      </c>
      <c r="J30" s="66">
        <f t="shared" si="25"/>
        <v>1.983333333</v>
      </c>
      <c r="K30" s="66">
        <f t="shared" si="25"/>
        <v>2.483333333</v>
      </c>
      <c r="L30" s="66">
        <f t="shared" si="25"/>
        <v>2.983333333</v>
      </c>
      <c r="M30" s="66">
        <f t="shared" si="25"/>
        <v>3.483333333</v>
      </c>
      <c r="N30" s="66">
        <f t="shared" si="25"/>
        <v>3.983333333</v>
      </c>
      <c r="O30" s="66">
        <f t="shared" si="25"/>
        <v>4.483333333</v>
      </c>
      <c r="P30" s="66">
        <f t="shared" si="25"/>
        <v>4.983333333</v>
      </c>
      <c r="Q30" s="66">
        <f t="shared" si="25"/>
        <v>5.483333333</v>
      </c>
      <c r="R30" s="66">
        <f t="shared" si="25"/>
        <v>5.983333333</v>
      </c>
      <c r="S30" s="66">
        <f t="shared" si="25"/>
        <v>6.483333333</v>
      </c>
      <c r="T30" s="66">
        <f t="shared" si="25"/>
        <v>6.983333333</v>
      </c>
      <c r="U30" s="66">
        <f t="shared" si="25"/>
        <v>7.483333333</v>
      </c>
      <c r="V30" s="66">
        <f t="shared" si="25"/>
        <v>7.983333333</v>
      </c>
      <c r="W30" s="66">
        <f t="shared" si="25"/>
        <v>8.483333333</v>
      </c>
      <c r="X30" s="66">
        <f t="shared" si="25"/>
        <v>8.983333333</v>
      </c>
      <c r="Y30" s="66">
        <f t="shared" si="25"/>
        <v>9.483333333</v>
      </c>
      <c r="Z30" s="66">
        <f t="shared" si="25"/>
        <v>9.983333333</v>
      </c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>
      <c r="C31" s="8" t="s">
        <v>116</v>
      </c>
      <c r="D31" s="8" t="s">
        <v>128</v>
      </c>
      <c r="E31" s="8" t="s">
        <v>118</v>
      </c>
      <c r="F31" s="55" t="s">
        <v>139</v>
      </c>
      <c r="G31" s="66">
        <f>26/60</f>
        <v>0.4333333333</v>
      </c>
      <c r="H31" s="66">
        <f t="shared" ref="H31:Z31" si="26">G31+0.5</f>
        <v>0.9333333333</v>
      </c>
      <c r="I31" s="66">
        <f t="shared" si="26"/>
        <v>1.433333333</v>
      </c>
      <c r="J31" s="66">
        <f t="shared" si="26"/>
        <v>1.933333333</v>
      </c>
      <c r="K31" s="66">
        <f t="shared" si="26"/>
        <v>2.433333333</v>
      </c>
      <c r="L31" s="66">
        <f t="shared" si="26"/>
        <v>2.933333333</v>
      </c>
      <c r="M31" s="66">
        <f t="shared" si="26"/>
        <v>3.433333333</v>
      </c>
      <c r="N31" s="66">
        <f t="shared" si="26"/>
        <v>3.933333333</v>
      </c>
      <c r="O31" s="66">
        <f t="shared" si="26"/>
        <v>4.433333333</v>
      </c>
      <c r="P31" s="66">
        <f t="shared" si="26"/>
        <v>4.933333333</v>
      </c>
      <c r="Q31" s="66">
        <f t="shared" si="26"/>
        <v>5.433333333</v>
      </c>
      <c r="R31" s="66">
        <f t="shared" si="26"/>
        <v>5.933333333</v>
      </c>
      <c r="S31" s="66">
        <f t="shared" si="26"/>
        <v>6.433333333</v>
      </c>
      <c r="T31" s="66">
        <f t="shared" si="26"/>
        <v>6.933333333</v>
      </c>
      <c r="U31" s="66">
        <f t="shared" si="26"/>
        <v>7.433333333</v>
      </c>
      <c r="V31" s="66">
        <f t="shared" si="26"/>
        <v>7.933333333</v>
      </c>
      <c r="W31" s="66">
        <f t="shared" si="26"/>
        <v>8.433333333</v>
      </c>
      <c r="X31" s="66">
        <f t="shared" si="26"/>
        <v>8.933333333</v>
      </c>
      <c r="Y31" s="66">
        <f t="shared" si="26"/>
        <v>9.433333333</v>
      </c>
      <c r="Z31" s="66">
        <f t="shared" si="26"/>
        <v>9.933333333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>
      <c r="C32" s="8" t="s">
        <v>116</v>
      </c>
      <c r="D32" s="8" t="s">
        <v>130</v>
      </c>
      <c r="E32" s="8" t="s">
        <v>118</v>
      </c>
      <c r="F32" s="55" t="s">
        <v>139</v>
      </c>
      <c r="G32" s="66">
        <f>23/60</f>
        <v>0.3833333333</v>
      </c>
      <c r="H32" s="66">
        <f t="shared" ref="H32:Z32" si="27">G32+0.5</f>
        <v>0.8833333333</v>
      </c>
      <c r="I32" s="66">
        <f t="shared" si="27"/>
        <v>1.383333333</v>
      </c>
      <c r="J32" s="66">
        <f t="shared" si="27"/>
        <v>1.883333333</v>
      </c>
      <c r="K32" s="66">
        <f t="shared" si="27"/>
        <v>2.383333333</v>
      </c>
      <c r="L32" s="66">
        <f t="shared" si="27"/>
        <v>2.883333333</v>
      </c>
      <c r="M32" s="66">
        <f t="shared" si="27"/>
        <v>3.383333333</v>
      </c>
      <c r="N32" s="66">
        <f t="shared" si="27"/>
        <v>3.883333333</v>
      </c>
      <c r="O32" s="66">
        <f t="shared" si="27"/>
        <v>4.383333333</v>
      </c>
      <c r="P32" s="66">
        <f t="shared" si="27"/>
        <v>4.883333333</v>
      </c>
      <c r="Q32" s="66">
        <f t="shared" si="27"/>
        <v>5.383333333</v>
      </c>
      <c r="R32" s="66">
        <f t="shared" si="27"/>
        <v>5.883333333</v>
      </c>
      <c r="S32" s="66">
        <f t="shared" si="27"/>
        <v>6.383333333</v>
      </c>
      <c r="T32" s="66">
        <f t="shared" si="27"/>
        <v>6.883333333</v>
      </c>
      <c r="U32" s="66">
        <f t="shared" si="27"/>
        <v>7.383333333</v>
      </c>
      <c r="V32" s="66">
        <f t="shared" si="27"/>
        <v>7.883333333</v>
      </c>
      <c r="W32" s="66">
        <f t="shared" si="27"/>
        <v>8.383333333</v>
      </c>
      <c r="X32" s="66">
        <f t="shared" si="27"/>
        <v>8.883333333</v>
      </c>
      <c r="Y32" s="66">
        <f t="shared" si="27"/>
        <v>9.383333333</v>
      </c>
      <c r="Z32" s="66">
        <f t="shared" si="27"/>
        <v>9.883333333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>
      <c r="C33" s="8" t="s">
        <v>116</v>
      </c>
      <c r="D33" s="8" t="s">
        <v>132</v>
      </c>
      <c r="E33" s="8" t="s">
        <v>118</v>
      </c>
      <c r="F33" s="55" t="s">
        <v>139</v>
      </c>
      <c r="G33" s="66">
        <v>0.33</v>
      </c>
      <c r="H33" s="66">
        <f t="shared" ref="H33:Z33" si="28">G33+0.5</f>
        <v>0.83</v>
      </c>
      <c r="I33" s="66">
        <f t="shared" si="28"/>
        <v>1.33</v>
      </c>
      <c r="J33" s="66">
        <f t="shared" si="28"/>
        <v>1.83</v>
      </c>
      <c r="K33" s="66">
        <f t="shared" si="28"/>
        <v>2.33</v>
      </c>
      <c r="L33" s="66">
        <f t="shared" si="28"/>
        <v>2.83</v>
      </c>
      <c r="M33" s="66">
        <f t="shared" si="28"/>
        <v>3.33</v>
      </c>
      <c r="N33" s="66">
        <f t="shared" si="28"/>
        <v>3.83</v>
      </c>
      <c r="O33" s="66">
        <f t="shared" si="28"/>
        <v>4.33</v>
      </c>
      <c r="P33" s="66">
        <f t="shared" si="28"/>
        <v>4.83</v>
      </c>
      <c r="Q33" s="66">
        <f t="shared" si="28"/>
        <v>5.33</v>
      </c>
      <c r="R33" s="66">
        <f t="shared" si="28"/>
        <v>5.83</v>
      </c>
      <c r="S33" s="66">
        <f t="shared" si="28"/>
        <v>6.33</v>
      </c>
      <c r="T33" s="66">
        <f t="shared" si="28"/>
        <v>6.83</v>
      </c>
      <c r="U33" s="66">
        <f t="shared" si="28"/>
        <v>7.33</v>
      </c>
      <c r="V33" s="66">
        <f t="shared" si="28"/>
        <v>7.83</v>
      </c>
      <c r="W33" s="66">
        <f t="shared" si="28"/>
        <v>8.33</v>
      </c>
      <c r="X33" s="66">
        <f t="shared" si="28"/>
        <v>8.83</v>
      </c>
      <c r="Y33" s="66">
        <f t="shared" si="28"/>
        <v>9.33</v>
      </c>
      <c r="Z33" s="66">
        <f t="shared" si="28"/>
        <v>9.83</v>
      </c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>
      <c r="A34" s="8"/>
      <c r="B34" s="65" t="s">
        <v>88</v>
      </c>
      <c r="C34" s="8" t="s">
        <v>140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>
      <c r="A35" s="67" t="s">
        <v>141</v>
      </c>
      <c r="B35" s="8" t="s">
        <v>117</v>
      </c>
      <c r="C35" s="68">
        <f t="shared" ref="C35:C42" si="29">G17/(G26*60)</f>
        <v>0.01321058537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>
      <c r="A36" s="8"/>
      <c r="B36" s="8" t="s">
        <v>120</v>
      </c>
      <c r="C36" s="68">
        <f t="shared" si="29"/>
        <v>0.01721326316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>
      <c r="A37" s="8"/>
      <c r="B37" s="8" t="s">
        <v>122</v>
      </c>
      <c r="C37" s="68">
        <f t="shared" si="29"/>
        <v>0.01949097143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>
      <c r="A38" s="8"/>
      <c r="B38" s="8" t="s">
        <v>124</v>
      </c>
      <c r="C38" s="68">
        <f t="shared" si="29"/>
        <v>0.020147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>
      <c r="A39" s="8"/>
      <c r="B39" s="8" t="s">
        <v>126</v>
      </c>
      <c r="C39" s="68">
        <f t="shared" si="29"/>
        <v>0.02055737931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</row>
    <row r="40">
      <c r="A40" s="8"/>
      <c r="B40" s="8" t="s">
        <v>128</v>
      </c>
      <c r="C40" s="68">
        <f t="shared" si="29"/>
        <v>0.01708284615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>
      <c r="A41" s="8"/>
      <c r="B41" s="8" t="s">
        <v>130</v>
      </c>
      <c r="C41" s="68">
        <f t="shared" si="29"/>
        <v>0.01256713043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>
      <c r="A42" s="8"/>
      <c r="B42" s="8" t="s">
        <v>132</v>
      </c>
      <c r="C42" s="68">
        <f t="shared" si="29"/>
        <v>0.008013838384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>
      <c r="A43" s="8"/>
      <c r="B43" s="65"/>
      <c r="C43" s="6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>
      <c r="A44" s="8"/>
      <c r="B44" s="65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>
      <c r="A46" s="50" t="s">
        <v>142</v>
      </c>
      <c r="C46" s="8" t="s">
        <v>113</v>
      </c>
      <c r="D46" s="8" t="s">
        <v>113</v>
      </c>
      <c r="E46" s="8"/>
      <c r="F46" s="8"/>
      <c r="G46" s="9">
        <v>0.0785</v>
      </c>
      <c r="H46" s="9">
        <v>0.0797</v>
      </c>
      <c r="I46" s="9">
        <v>0.0809</v>
      </c>
      <c r="J46" s="9">
        <v>0.0812</v>
      </c>
      <c r="K46" s="9">
        <v>0.0815</v>
      </c>
      <c r="L46" s="9">
        <v>0.0815</v>
      </c>
      <c r="M46" s="9">
        <v>0.081</v>
      </c>
      <c r="N46" s="9">
        <v>0.0806</v>
      </c>
      <c r="O46" s="9">
        <v>0.0804</v>
      </c>
      <c r="P46" s="9">
        <v>0.0798</v>
      </c>
      <c r="Q46" s="9">
        <v>0.079</v>
      </c>
      <c r="R46" s="9">
        <v>0.0787</v>
      </c>
      <c r="S46" s="9">
        <v>0.0778</v>
      </c>
      <c r="T46" s="9">
        <v>0.0777</v>
      </c>
      <c r="U46" s="9">
        <v>0.0778</v>
      </c>
      <c r="V46" s="9">
        <v>0.0776</v>
      </c>
      <c r="W46" s="9">
        <v>0.078</v>
      </c>
      <c r="X46" s="9">
        <v>0.0782</v>
      </c>
      <c r="Y46" s="9">
        <v>0.0781</v>
      </c>
      <c r="Z46" s="9">
        <v>0.0783</v>
      </c>
      <c r="AA46" s="8" t="s">
        <v>143</v>
      </c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>
      <c r="C47" s="8" t="s">
        <v>116</v>
      </c>
      <c r="D47" s="8" t="s">
        <v>144</v>
      </c>
      <c r="E47" s="8" t="s">
        <v>118</v>
      </c>
      <c r="F47" s="8"/>
      <c r="G47" s="70">
        <v>0.2032</v>
      </c>
      <c r="H47" s="9">
        <v>0.2225</v>
      </c>
      <c r="I47" s="9">
        <v>0.205</v>
      </c>
      <c r="J47" s="9">
        <v>0.2041</v>
      </c>
      <c r="K47" s="9">
        <v>0.2042</v>
      </c>
      <c r="L47" s="9">
        <v>0.2033</v>
      </c>
      <c r="M47" s="9">
        <v>0.2025</v>
      </c>
      <c r="N47" s="9">
        <v>0.2048</v>
      </c>
      <c r="O47" s="9">
        <v>0.204</v>
      </c>
      <c r="P47" s="9">
        <v>0.203</v>
      </c>
      <c r="Q47" s="9">
        <v>0.2031</v>
      </c>
      <c r="R47" s="9">
        <v>0.2026</v>
      </c>
      <c r="S47" s="9">
        <v>0.2022</v>
      </c>
      <c r="T47" s="9">
        <v>0.2021</v>
      </c>
      <c r="U47" s="9">
        <v>0.202</v>
      </c>
      <c r="V47" s="9">
        <v>0.2013</v>
      </c>
      <c r="W47" s="9">
        <v>0.2011</v>
      </c>
      <c r="X47" s="9">
        <v>0.2008</v>
      </c>
      <c r="Y47" s="9">
        <v>0.2004</v>
      </c>
      <c r="Z47" s="9">
        <v>0.2002</v>
      </c>
      <c r="AA47" s="8" t="s">
        <v>145</v>
      </c>
      <c r="AB47" s="8" t="s">
        <v>146</v>
      </c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>
      <c r="C48" s="8" t="s">
        <v>116</v>
      </c>
      <c r="D48" s="8" t="s">
        <v>147</v>
      </c>
      <c r="E48" s="8" t="s">
        <v>118</v>
      </c>
      <c r="F48" s="8"/>
      <c r="G48" s="70">
        <v>0.29</v>
      </c>
      <c r="H48" s="9">
        <v>0.3235</v>
      </c>
      <c r="I48" s="9">
        <v>0.331</v>
      </c>
      <c r="J48" s="9">
        <v>0.3305</v>
      </c>
      <c r="K48" s="9">
        <v>0.3314</v>
      </c>
      <c r="L48" s="9">
        <v>0.33</v>
      </c>
      <c r="M48" s="9">
        <v>0.3301</v>
      </c>
      <c r="N48" s="9">
        <v>0.3301</v>
      </c>
      <c r="O48" s="9">
        <v>0.3267</v>
      </c>
      <c r="P48" s="9">
        <v>0.3258</v>
      </c>
      <c r="Q48" s="9">
        <v>0.3264</v>
      </c>
      <c r="R48" s="9">
        <v>0.3257</v>
      </c>
      <c r="S48" s="9">
        <v>0.3252</v>
      </c>
      <c r="T48" s="9">
        <v>0.325</v>
      </c>
      <c r="U48" s="9">
        <v>0.3242</v>
      </c>
      <c r="V48" s="9">
        <v>0.3233</v>
      </c>
      <c r="W48" s="9">
        <v>0.323</v>
      </c>
      <c r="X48" s="9">
        <v>0.3226</v>
      </c>
      <c r="Y48" s="9">
        <v>0.3219</v>
      </c>
      <c r="Z48" s="9">
        <v>0.3212</v>
      </c>
      <c r="AA48" s="8" t="s">
        <v>148</v>
      </c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>
      <c r="C49" s="8" t="s">
        <v>116</v>
      </c>
      <c r="D49" s="8" t="s">
        <v>149</v>
      </c>
      <c r="E49" s="8" t="s">
        <v>118</v>
      </c>
      <c r="F49" s="8"/>
      <c r="G49" s="70">
        <v>0.3301</v>
      </c>
      <c r="H49" s="9">
        <v>0.4085</v>
      </c>
      <c r="I49" s="9">
        <v>0.4288</v>
      </c>
      <c r="J49" s="9">
        <v>0.4371</v>
      </c>
      <c r="K49" s="9">
        <v>0.4315</v>
      </c>
      <c r="L49" s="9">
        <v>0.4303</v>
      </c>
      <c r="M49" s="9">
        <v>0.428</v>
      </c>
      <c r="N49" s="9">
        <v>0.4295</v>
      </c>
      <c r="O49" s="9">
        <v>0.4283</v>
      </c>
      <c r="P49" s="9">
        <v>0.4256</v>
      </c>
      <c r="Q49" s="9">
        <v>0.4252</v>
      </c>
      <c r="R49" s="9">
        <v>0.4239</v>
      </c>
      <c r="S49" s="9">
        <v>0.4238</v>
      </c>
      <c r="T49" s="9">
        <v>0.4232</v>
      </c>
      <c r="U49" s="9">
        <v>0.4226</v>
      </c>
      <c r="V49" s="9">
        <v>0.4213</v>
      </c>
      <c r="W49" s="9">
        <v>0.4212</v>
      </c>
      <c r="X49" s="9">
        <v>0.4197</v>
      </c>
      <c r="Y49" s="9">
        <v>0.4184</v>
      </c>
      <c r="Z49" s="9">
        <v>0.417</v>
      </c>
      <c r="AA49" s="8" t="s">
        <v>150</v>
      </c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</row>
    <row r="50">
      <c r="C50" s="8" t="s">
        <v>116</v>
      </c>
      <c r="D50" s="8" t="s">
        <v>151</v>
      </c>
      <c r="E50" s="8" t="s">
        <v>118</v>
      </c>
      <c r="F50" s="8"/>
      <c r="G50" s="70">
        <v>0.3444</v>
      </c>
      <c r="H50" s="9">
        <v>0.4772</v>
      </c>
      <c r="I50" s="9">
        <v>0.5339</v>
      </c>
      <c r="J50" s="9">
        <v>0.5488</v>
      </c>
      <c r="K50" s="9">
        <v>0.5492</v>
      </c>
      <c r="L50" s="9">
        <v>0.5447</v>
      </c>
      <c r="M50" s="9">
        <v>0.5437</v>
      </c>
      <c r="N50" s="9">
        <v>0.5446</v>
      </c>
      <c r="O50" s="9">
        <v>0.5435</v>
      </c>
      <c r="P50" s="9">
        <v>0.5424</v>
      </c>
      <c r="Q50" s="9">
        <v>0.5406</v>
      </c>
      <c r="R50" s="9">
        <v>0.5396</v>
      </c>
      <c r="S50" s="9">
        <v>0.5384</v>
      </c>
      <c r="T50" s="9">
        <v>0.5362</v>
      </c>
      <c r="U50" s="9">
        <v>0.5366</v>
      </c>
      <c r="V50" s="9">
        <v>0.5337</v>
      </c>
      <c r="W50" s="9">
        <v>0.5309</v>
      </c>
      <c r="X50" s="9">
        <v>0.5299</v>
      </c>
      <c r="Y50" s="9">
        <v>0.531</v>
      </c>
      <c r="Z50" s="9">
        <v>0.5287</v>
      </c>
      <c r="AA50" s="8" t="s">
        <v>152</v>
      </c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</row>
    <row r="51">
      <c r="C51" s="8" t="s">
        <v>116</v>
      </c>
      <c r="D51" s="8" t="s">
        <v>153</v>
      </c>
      <c r="E51" s="8" t="s">
        <v>118</v>
      </c>
      <c r="F51" s="8"/>
      <c r="G51" s="9">
        <v>0.3403</v>
      </c>
      <c r="H51" s="9">
        <v>0.5149</v>
      </c>
      <c r="I51" s="9">
        <v>0.6153</v>
      </c>
      <c r="J51" s="9">
        <v>0.6515</v>
      </c>
      <c r="K51" s="9">
        <v>0.6546</v>
      </c>
      <c r="L51" s="9">
        <v>0.6552</v>
      </c>
      <c r="M51" s="9">
        <v>0.6478</v>
      </c>
      <c r="N51" s="9">
        <v>0.6492</v>
      </c>
      <c r="O51" s="9">
        <v>0.6477</v>
      </c>
      <c r="P51" s="9">
        <v>0.6506</v>
      </c>
      <c r="Q51" s="9">
        <v>0.6492</v>
      </c>
      <c r="R51" s="9">
        <v>0.6476</v>
      </c>
      <c r="S51" s="9">
        <v>0.6468</v>
      </c>
      <c r="T51" s="9">
        <v>0.6435</v>
      </c>
      <c r="U51" s="9">
        <v>0.6422</v>
      </c>
      <c r="V51" s="9">
        <v>0.6407</v>
      </c>
      <c r="W51" s="9">
        <v>0.6378</v>
      </c>
      <c r="X51" s="9">
        <v>0.6347</v>
      </c>
      <c r="Y51" s="9">
        <v>0.6353</v>
      </c>
      <c r="Z51" s="9">
        <v>0.6349</v>
      </c>
      <c r="AA51" s="8" t="s">
        <v>154</v>
      </c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>
      <c r="C52" s="8" t="s">
        <v>116</v>
      </c>
      <c r="D52" s="8" t="s">
        <v>155</v>
      </c>
      <c r="E52" s="8" t="s">
        <v>118</v>
      </c>
      <c r="F52" s="8"/>
      <c r="G52" s="9">
        <v>0.3225</v>
      </c>
      <c r="H52" s="9">
        <v>0.5248</v>
      </c>
      <c r="I52" s="9">
        <v>0.673</v>
      </c>
      <c r="J52" s="9">
        <v>0.7493</v>
      </c>
      <c r="K52" s="9">
        <v>0.7774</v>
      </c>
      <c r="L52" s="9">
        <v>0.7694</v>
      </c>
      <c r="M52" s="9">
        <v>0.7729</v>
      </c>
      <c r="N52" s="9">
        <v>0.7705</v>
      </c>
      <c r="O52" s="9">
        <v>0.7612</v>
      </c>
      <c r="P52" s="9">
        <v>0.7601</v>
      </c>
      <c r="Q52" s="9">
        <v>0.7575</v>
      </c>
      <c r="R52" s="9">
        <v>0.7541</v>
      </c>
      <c r="S52" s="9">
        <v>0.7521</v>
      </c>
      <c r="T52" s="9">
        <v>0.7493</v>
      </c>
      <c r="U52" s="9">
        <v>0.7463</v>
      </c>
      <c r="V52" s="9">
        <v>0.743</v>
      </c>
      <c r="W52" s="9">
        <v>0.742</v>
      </c>
      <c r="X52" s="9">
        <v>0.7388</v>
      </c>
      <c r="Y52" s="9">
        <v>0.7354</v>
      </c>
      <c r="Z52" s="9">
        <v>0.7323</v>
      </c>
      <c r="AA52" s="8" t="s">
        <v>156</v>
      </c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>
      <c r="C53" s="8" t="s">
        <v>116</v>
      </c>
      <c r="D53" s="8" t="s">
        <v>157</v>
      </c>
      <c r="E53" s="8" t="s">
        <v>118</v>
      </c>
      <c r="F53" s="8"/>
      <c r="G53" s="9">
        <v>0.3225</v>
      </c>
      <c r="H53" s="9">
        <v>0.5083</v>
      </c>
      <c r="I53" s="9">
        <v>0.689</v>
      </c>
      <c r="J53" s="9">
        <v>0.8057</v>
      </c>
      <c r="K53" s="9">
        <v>0.8617</v>
      </c>
      <c r="L53" s="9">
        <v>0.8576</v>
      </c>
      <c r="M53" s="9">
        <v>0.8671</v>
      </c>
      <c r="N53" s="9">
        <v>0.8594</v>
      </c>
      <c r="O53" s="9">
        <v>0.8602</v>
      </c>
      <c r="P53" s="9">
        <v>0.8582</v>
      </c>
      <c r="Q53" s="9">
        <v>0.8532</v>
      </c>
      <c r="R53" s="9">
        <v>0.8482</v>
      </c>
      <c r="S53" s="9">
        <v>0.8423</v>
      </c>
      <c r="T53" s="9">
        <v>0.8416</v>
      </c>
      <c r="U53" s="9">
        <v>0.8373</v>
      </c>
      <c r="V53" s="9">
        <v>0.8343</v>
      </c>
      <c r="W53" s="9">
        <v>0.8293</v>
      </c>
      <c r="X53" s="9">
        <v>0.8251</v>
      </c>
      <c r="Y53" s="9">
        <v>0.8245</v>
      </c>
      <c r="Z53" s="9">
        <v>0.8211</v>
      </c>
      <c r="AA53" s="8" t="s">
        <v>158</v>
      </c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>
      <c r="C54" s="8" t="s">
        <v>109</v>
      </c>
      <c r="D54" s="8" t="s">
        <v>157</v>
      </c>
      <c r="E54" s="8" t="s">
        <v>118</v>
      </c>
      <c r="F54" s="8"/>
      <c r="G54" s="9">
        <v>0.0534</v>
      </c>
      <c r="H54" s="9">
        <v>0.0534</v>
      </c>
      <c r="I54" s="9">
        <v>0.0536</v>
      </c>
      <c r="J54" s="9">
        <v>0.0535</v>
      </c>
      <c r="K54" s="9">
        <v>0.0536</v>
      </c>
      <c r="L54" s="9">
        <v>0.0536</v>
      </c>
      <c r="M54" s="9">
        <v>0.0538</v>
      </c>
      <c r="N54" s="9">
        <v>0.054</v>
      </c>
      <c r="O54" s="9">
        <v>0.0538</v>
      </c>
      <c r="P54" s="9">
        <v>0.0538</v>
      </c>
      <c r="Q54" s="9">
        <v>0.0538</v>
      </c>
      <c r="R54" s="9">
        <v>0.0541</v>
      </c>
      <c r="S54" s="9">
        <v>0.054</v>
      </c>
      <c r="T54" s="9">
        <v>0.0542</v>
      </c>
      <c r="U54" s="9">
        <v>0.0544</v>
      </c>
      <c r="V54" s="9">
        <v>0.0544</v>
      </c>
      <c r="W54" s="9">
        <v>0.0545</v>
      </c>
      <c r="X54" s="9">
        <v>0.0548</v>
      </c>
      <c r="Y54" s="9">
        <v>0.0544</v>
      </c>
      <c r="Z54" s="9">
        <v>0.0545</v>
      </c>
      <c r="AA54" s="8" t="s">
        <v>159</v>
      </c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>
      <c r="A55" s="8"/>
      <c r="B55" s="65"/>
      <c r="C55" s="8"/>
      <c r="D55" s="23"/>
      <c r="E55" s="8"/>
      <c r="F55" s="8"/>
      <c r="G55" s="8"/>
      <c r="H55" s="8"/>
      <c r="I55" s="8"/>
      <c r="J55" s="8"/>
      <c r="K55" s="65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</row>
    <row r="56">
      <c r="A56" s="61" t="s">
        <v>135</v>
      </c>
      <c r="C56" s="62" t="s">
        <v>116</v>
      </c>
      <c r="D56" s="62" t="s">
        <v>160</v>
      </c>
      <c r="E56" s="62" t="s">
        <v>118</v>
      </c>
      <c r="F56" s="62"/>
      <c r="G56" s="71">
        <f t="shared" ref="G56:G63" si="31">G47-0.0785</f>
        <v>0.1247</v>
      </c>
      <c r="H56" s="63">
        <f t="shared" ref="H56:H63" si="32">H47-0.0797</f>
        <v>0.1428</v>
      </c>
      <c r="I56" s="63">
        <f t="shared" ref="I56:I63" si="33">I47-0.0809</f>
        <v>0.1241</v>
      </c>
      <c r="J56" s="63">
        <f t="shared" ref="J56:J63" si="34">J47-0.0812</f>
        <v>0.1229</v>
      </c>
      <c r="K56" s="63">
        <f t="shared" ref="K56:L56" si="30">K47-0.0815</f>
        <v>0.1227</v>
      </c>
      <c r="L56" s="63">
        <f t="shared" si="30"/>
        <v>0.1218</v>
      </c>
      <c r="M56" s="63">
        <f t="shared" ref="M56:M63" si="36">M47-0.081</f>
        <v>0.1215</v>
      </c>
      <c r="N56" s="63">
        <f t="shared" ref="N56:N63" si="37">N47-0.0806</f>
        <v>0.1242</v>
      </c>
      <c r="O56" s="63">
        <f t="shared" ref="O56:O63" si="38">O47-0.0804</f>
        <v>0.1236</v>
      </c>
      <c r="P56" s="63">
        <f t="shared" ref="P56:P63" si="39">P47-0.0798</f>
        <v>0.1232</v>
      </c>
      <c r="Q56" s="63">
        <f t="shared" ref="Q56:Q63" si="40">Q47-0.079</f>
        <v>0.1241</v>
      </c>
      <c r="R56" s="63">
        <f t="shared" ref="R56:R63" si="41">R47-0.0787</f>
        <v>0.1239</v>
      </c>
      <c r="S56" s="63">
        <f t="shared" ref="S56:S63" si="42">S47-0.0778</f>
        <v>0.1244</v>
      </c>
      <c r="T56" s="63">
        <f t="shared" ref="T56:T63" si="43">T47-0.0777</f>
        <v>0.1244</v>
      </c>
      <c r="U56" s="63">
        <f t="shared" ref="U56:U63" si="44">U47-0.0778</f>
        <v>0.1242</v>
      </c>
      <c r="V56" s="63">
        <f t="shared" ref="V56:V63" si="45">V47-0.0776</f>
        <v>0.1237</v>
      </c>
      <c r="W56" s="63">
        <f t="shared" ref="W56:W63" si="46">W47-0.078</f>
        <v>0.1231</v>
      </c>
      <c r="X56" s="63">
        <f t="shared" ref="X56:X63" si="47">X47-0.0782</f>
        <v>0.1226</v>
      </c>
      <c r="Y56" s="63">
        <f t="shared" ref="Y56:Y63" si="48">Y47-0.0781</f>
        <v>0.1223</v>
      </c>
      <c r="Z56" s="63">
        <f t="shared" ref="Z56:Z63" si="49">Z47-0.0783</f>
        <v>0.1219</v>
      </c>
      <c r="AA56" s="8" t="s">
        <v>145</v>
      </c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>
      <c r="C57" s="62" t="s">
        <v>116</v>
      </c>
      <c r="D57" s="62" t="s">
        <v>161</v>
      </c>
      <c r="E57" s="62" t="s">
        <v>118</v>
      </c>
      <c r="F57" s="62"/>
      <c r="G57" s="71">
        <f t="shared" si="31"/>
        <v>0.2115</v>
      </c>
      <c r="H57" s="63">
        <f t="shared" si="32"/>
        <v>0.2438</v>
      </c>
      <c r="I57" s="63">
        <f t="shared" si="33"/>
        <v>0.2501</v>
      </c>
      <c r="J57" s="63">
        <f t="shared" si="34"/>
        <v>0.2493</v>
      </c>
      <c r="K57" s="63">
        <f t="shared" ref="K57:L57" si="35">K48-0.0815</f>
        <v>0.2499</v>
      </c>
      <c r="L57" s="63">
        <f t="shared" si="35"/>
        <v>0.2485</v>
      </c>
      <c r="M57" s="63">
        <f t="shared" si="36"/>
        <v>0.2491</v>
      </c>
      <c r="N57" s="63">
        <f t="shared" si="37"/>
        <v>0.2495</v>
      </c>
      <c r="O57" s="63">
        <f t="shared" si="38"/>
        <v>0.2463</v>
      </c>
      <c r="P57" s="63">
        <f t="shared" si="39"/>
        <v>0.246</v>
      </c>
      <c r="Q57" s="63">
        <f t="shared" si="40"/>
        <v>0.2474</v>
      </c>
      <c r="R57" s="63">
        <f t="shared" si="41"/>
        <v>0.247</v>
      </c>
      <c r="S57" s="63">
        <f t="shared" si="42"/>
        <v>0.2474</v>
      </c>
      <c r="T57" s="63">
        <f t="shared" si="43"/>
        <v>0.2473</v>
      </c>
      <c r="U57" s="63">
        <f t="shared" si="44"/>
        <v>0.2464</v>
      </c>
      <c r="V57" s="63">
        <f t="shared" si="45"/>
        <v>0.2457</v>
      </c>
      <c r="W57" s="63">
        <f t="shared" si="46"/>
        <v>0.245</v>
      </c>
      <c r="X57" s="63">
        <f t="shared" si="47"/>
        <v>0.2444</v>
      </c>
      <c r="Y57" s="63">
        <f t="shared" si="48"/>
        <v>0.2438</v>
      </c>
      <c r="Z57" s="63">
        <f t="shared" si="49"/>
        <v>0.2429</v>
      </c>
      <c r="AA57" s="8" t="s">
        <v>148</v>
      </c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>
      <c r="C58" s="62" t="s">
        <v>116</v>
      </c>
      <c r="D58" s="62" t="s">
        <v>149</v>
      </c>
      <c r="E58" s="62" t="s">
        <v>118</v>
      </c>
      <c r="F58" s="62"/>
      <c r="G58" s="71">
        <f t="shared" si="31"/>
        <v>0.2516</v>
      </c>
      <c r="H58" s="63">
        <f t="shared" si="32"/>
        <v>0.3288</v>
      </c>
      <c r="I58" s="63">
        <f t="shared" si="33"/>
        <v>0.3479</v>
      </c>
      <c r="J58" s="63">
        <f t="shared" si="34"/>
        <v>0.3559</v>
      </c>
      <c r="K58" s="63">
        <f t="shared" ref="K58:L58" si="50">K49-0.0815</f>
        <v>0.35</v>
      </c>
      <c r="L58" s="63">
        <f t="shared" si="50"/>
        <v>0.3488</v>
      </c>
      <c r="M58" s="63">
        <f t="shared" si="36"/>
        <v>0.347</v>
      </c>
      <c r="N58" s="63">
        <f t="shared" si="37"/>
        <v>0.3489</v>
      </c>
      <c r="O58" s="63">
        <f t="shared" si="38"/>
        <v>0.3479</v>
      </c>
      <c r="P58" s="63">
        <f t="shared" si="39"/>
        <v>0.3458</v>
      </c>
      <c r="Q58" s="63">
        <f t="shared" si="40"/>
        <v>0.3462</v>
      </c>
      <c r="R58" s="63">
        <f t="shared" si="41"/>
        <v>0.3452</v>
      </c>
      <c r="S58" s="63">
        <f t="shared" si="42"/>
        <v>0.346</v>
      </c>
      <c r="T58" s="63">
        <f t="shared" si="43"/>
        <v>0.3455</v>
      </c>
      <c r="U58" s="63">
        <f t="shared" si="44"/>
        <v>0.3448</v>
      </c>
      <c r="V58" s="63">
        <f t="shared" si="45"/>
        <v>0.3437</v>
      </c>
      <c r="W58" s="63">
        <f t="shared" si="46"/>
        <v>0.3432</v>
      </c>
      <c r="X58" s="63">
        <f t="shared" si="47"/>
        <v>0.3415</v>
      </c>
      <c r="Y58" s="63">
        <f t="shared" si="48"/>
        <v>0.3403</v>
      </c>
      <c r="Z58" s="63">
        <f t="shared" si="49"/>
        <v>0.3387</v>
      </c>
      <c r="AA58" s="8" t="s">
        <v>150</v>
      </c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>
      <c r="C59" s="62" t="s">
        <v>116</v>
      </c>
      <c r="D59" s="62" t="s">
        <v>151</v>
      </c>
      <c r="E59" s="62" t="s">
        <v>118</v>
      </c>
      <c r="F59" s="62"/>
      <c r="G59" s="71">
        <f t="shared" si="31"/>
        <v>0.2659</v>
      </c>
      <c r="H59" s="63">
        <f t="shared" si="32"/>
        <v>0.3975</v>
      </c>
      <c r="I59" s="63">
        <f t="shared" si="33"/>
        <v>0.453</v>
      </c>
      <c r="J59" s="63">
        <f t="shared" si="34"/>
        <v>0.4676</v>
      </c>
      <c r="K59" s="63">
        <f t="shared" ref="K59:L59" si="51">K50-0.0815</f>
        <v>0.4677</v>
      </c>
      <c r="L59" s="63">
        <f t="shared" si="51"/>
        <v>0.4632</v>
      </c>
      <c r="M59" s="63">
        <f t="shared" si="36"/>
        <v>0.4627</v>
      </c>
      <c r="N59" s="63">
        <f t="shared" si="37"/>
        <v>0.464</v>
      </c>
      <c r="O59" s="63">
        <f t="shared" si="38"/>
        <v>0.4631</v>
      </c>
      <c r="P59" s="63">
        <f t="shared" si="39"/>
        <v>0.4626</v>
      </c>
      <c r="Q59" s="63">
        <f t="shared" si="40"/>
        <v>0.4616</v>
      </c>
      <c r="R59" s="63">
        <f t="shared" si="41"/>
        <v>0.4609</v>
      </c>
      <c r="S59" s="63">
        <f t="shared" si="42"/>
        <v>0.4606</v>
      </c>
      <c r="T59" s="63">
        <f t="shared" si="43"/>
        <v>0.4585</v>
      </c>
      <c r="U59" s="63">
        <f t="shared" si="44"/>
        <v>0.4588</v>
      </c>
      <c r="V59" s="63">
        <f t="shared" si="45"/>
        <v>0.4561</v>
      </c>
      <c r="W59" s="63">
        <f t="shared" si="46"/>
        <v>0.4529</v>
      </c>
      <c r="X59" s="63">
        <f t="shared" si="47"/>
        <v>0.4517</v>
      </c>
      <c r="Y59" s="63">
        <f t="shared" si="48"/>
        <v>0.4529</v>
      </c>
      <c r="Z59" s="63">
        <f t="shared" si="49"/>
        <v>0.4504</v>
      </c>
      <c r="AA59" s="8" t="s">
        <v>152</v>
      </c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</row>
    <row r="60">
      <c r="C60" s="62" t="s">
        <v>116</v>
      </c>
      <c r="D60" s="62" t="s">
        <v>153</v>
      </c>
      <c r="E60" s="62" t="s">
        <v>118</v>
      </c>
      <c r="F60" s="62"/>
      <c r="G60" s="71">
        <f t="shared" si="31"/>
        <v>0.2618</v>
      </c>
      <c r="H60" s="63">
        <f t="shared" si="32"/>
        <v>0.4352</v>
      </c>
      <c r="I60" s="63">
        <f t="shared" si="33"/>
        <v>0.5344</v>
      </c>
      <c r="J60" s="63">
        <f t="shared" si="34"/>
        <v>0.5703</v>
      </c>
      <c r="K60" s="63">
        <f t="shared" ref="K60:L60" si="52">K51-0.0815</f>
        <v>0.5731</v>
      </c>
      <c r="L60" s="63">
        <f t="shared" si="52"/>
        <v>0.5737</v>
      </c>
      <c r="M60" s="63">
        <f t="shared" si="36"/>
        <v>0.5668</v>
      </c>
      <c r="N60" s="63">
        <f t="shared" si="37"/>
        <v>0.5686</v>
      </c>
      <c r="O60" s="63">
        <f t="shared" si="38"/>
        <v>0.5673</v>
      </c>
      <c r="P60" s="63">
        <f t="shared" si="39"/>
        <v>0.5708</v>
      </c>
      <c r="Q60" s="63">
        <f t="shared" si="40"/>
        <v>0.5702</v>
      </c>
      <c r="R60" s="63">
        <f t="shared" si="41"/>
        <v>0.5689</v>
      </c>
      <c r="S60" s="63">
        <f t="shared" si="42"/>
        <v>0.569</v>
      </c>
      <c r="T60" s="63">
        <f t="shared" si="43"/>
        <v>0.5658</v>
      </c>
      <c r="U60" s="63">
        <f t="shared" si="44"/>
        <v>0.5644</v>
      </c>
      <c r="V60" s="63">
        <f t="shared" si="45"/>
        <v>0.5631</v>
      </c>
      <c r="W60" s="63">
        <f t="shared" si="46"/>
        <v>0.5598</v>
      </c>
      <c r="X60" s="63">
        <f t="shared" si="47"/>
        <v>0.5565</v>
      </c>
      <c r="Y60" s="63">
        <f t="shared" si="48"/>
        <v>0.5572</v>
      </c>
      <c r="Z60" s="63">
        <f t="shared" si="49"/>
        <v>0.5566</v>
      </c>
      <c r="AA60" s="8" t="s">
        <v>154</v>
      </c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</row>
    <row r="61">
      <c r="C61" s="62" t="s">
        <v>116</v>
      </c>
      <c r="D61" s="62" t="s">
        <v>155</v>
      </c>
      <c r="E61" s="62" t="s">
        <v>118</v>
      </c>
      <c r="F61" s="62"/>
      <c r="G61" s="71">
        <f t="shared" si="31"/>
        <v>0.244</v>
      </c>
      <c r="H61" s="63">
        <f t="shared" si="32"/>
        <v>0.4451</v>
      </c>
      <c r="I61" s="63">
        <f t="shared" si="33"/>
        <v>0.5921</v>
      </c>
      <c r="J61" s="63">
        <f t="shared" si="34"/>
        <v>0.6681</v>
      </c>
      <c r="K61" s="63">
        <f t="shared" ref="K61:L61" si="53">K52-0.0815</f>
        <v>0.6959</v>
      </c>
      <c r="L61" s="63">
        <f t="shared" si="53"/>
        <v>0.6879</v>
      </c>
      <c r="M61" s="63">
        <f t="shared" si="36"/>
        <v>0.6919</v>
      </c>
      <c r="N61" s="63">
        <f t="shared" si="37"/>
        <v>0.6899</v>
      </c>
      <c r="O61" s="63">
        <f t="shared" si="38"/>
        <v>0.6808</v>
      </c>
      <c r="P61" s="63">
        <f t="shared" si="39"/>
        <v>0.6803</v>
      </c>
      <c r="Q61" s="63">
        <f t="shared" si="40"/>
        <v>0.6785</v>
      </c>
      <c r="R61" s="63">
        <f t="shared" si="41"/>
        <v>0.6754</v>
      </c>
      <c r="S61" s="63">
        <f t="shared" si="42"/>
        <v>0.6743</v>
      </c>
      <c r="T61" s="63">
        <f t="shared" si="43"/>
        <v>0.6716</v>
      </c>
      <c r="U61" s="63">
        <f t="shared" si="44"/>
        <v>0.6685</v>
      </c>
      <c r="V61" s="63">
        <f t="shared" si="45"/>
        <v>0.6654</v>
      </c>
      <c r="W61" s="63">
        <f t="shared" si="46"/>
        <v>0.664</v>
      </c>
      <c r="X61" s="63">
        <f t="shared" si="47"/>
        <v>0.6606</v>
      </c>
      <c r="Y61" s="63">
        <f t="shared" si="48"/>
        <v>0.6573</v>
      </c>
      <c r="Z61" s="63">
        <f t="shared" si="49"/>
        <v>0.654</v>
      </c>
      <c r="AA61" s="8" t="s">
        <v>156</v>
      </c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</row>
    <row r="62">
      <c r="C62" s="62" t="s">
        <v>116</v>
      </c>
      <c r="D62" s="62" t="s">
        <v>162</v>
      </c>
      <c r="E62" s="62" t="s">
        <v>118</v>
      </c>
      <c r="F62" s="62"/>
      <c r="G62" s="71">
        <f t="shared" si="31"/>
        <v>0.244</v>
      </c>
      <c r="H62" s="63">
        <f t="shared" si="32"/>
        <v>0.4286</v>
      </c>
      <c r="I62" s="63">
        <f t="shared" si="33"/>
        <v>0.6081</v>
      </c>
      <c r="J62" s="63">
        <f t="shared" si="34"/>
        <v>0.7245</v>
      </c>
      <c r="K62" s="63">
        <f t="shared" ref="K62:L62" si="54">K53-0.0815</f>
        <v>0.7802</v>
      </c>
      <c r="L62" s="63">
        <f t="shared" si="54"/>
        <v>0.7761</v>
      </c>
      <c r="M62" s="63">
        <f t="shared" si="36"/>
        <v>0.7861</v>
      </c>
      <c r="N62" s="63">
        <f t="shared" si="37"/>
        <v>0.7788</v>
      </c>
      <c r="O62" s="63">
        <f t="shared" si="38"/>
        <v>0.7798</v>
      </c>
      <c r="P62" s="63">
        <f t="shared" si="39"/>
        <v>0.7784</v>
      </c>
      <c r="Q62" s="63">
        <f t="shared" si="40"/>
        <v>0.7742</v>
      </c>
      <c r="R62" s="63">
        <f t="shared" si="41"/>
        <v>0.7695</v>
      </c>
      <c r="S62" s="63">
        <f t="shared" si="42"/>
        <v>0.7645</v>
      </c>
      <c r="T62" s="63">
        <f t="shared" si="43"/>
        <v>0.7639</v>
      </c>
      <c r="U62" s="63">
        <f t="shared" si="44"/>
        <v>0.7595</v>
      </c>
      <c r="V62" s="63">
        <f t="shared" si="45"/>
        <v>0.7567</v>
      </c>
      <c r="W62" s="63">
        <f t="shared" si="46"/>
        <v>0.7513</v>
      </c>
      <c r="X62" s="63">
        <f t="shared" si="47"/>
        <v>0.7469</v>
      </c>
      <c r="Y62" s="63">
        <f t="shared" si="48"/>
        <v>0.7464</v>
      </c>
      <c r="Z62" s="63">
        <f t="shared" si="49"/>
        <v>0.7428</v>
      </c>
      <c r="AA62" s="8" t="s">
        <v>158</v>
      </c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</row>
    <row r="63">
      <c r="C63" s="62" t="s">
        <v>109</v>
      </c>
      <c r="D63" s="62" t="s">
        <v>162</v>
      </c>
      <c r="E63" s="62" t="s">
        <v>118</v>
      </c>
      <c r="F63" s="62"/>
      <c r="G63" s="71">
        <f t="shared" si="31"/>
        <v>-0.0251</v>
      </c>
      <c r="H63" s="63">
        <f t="shared" si="32"/>
        <v>-0.0263</v>
      </c>
      <c r="I63" s="63">
        <f t="shared" si="33"/>
        <v>-0.0273</v>
      </c>
      <c r="J63" s="63">
        <f t="shared" si="34"/>
        <v>-0.0277</v>
      </c>
      <c r="K63" s="63">
        <f t="shared" ref="K63:L63" si="55">K54-0.0815</f>
        <v>-0.0279</v>
      </c>
      <c r="L63" s="63">
        <f t="shared" si="55"/>
        <v>-0.0279</v>
      </c>
      <c r="M63" s="63">
        <f t="shared" si="36"/>
        <v>-0.0272</v>
      </c>
      <c r="N63" s="63">
        <f t="shared" si="37"/>
        <v>-0.0266</v>
      </c>
      <c r="O63" s="63">
        <f t="shared" si="38"/>
        <v>-0.0266</v>
      </c>
      <c r="P63" s="63">
        <f t="shared" si="39"/>
        <v>-0.026</v>
      </c>
      <c r="Q63" s="63">
        <f t="shared" si="40"/>
        <v>-0.0252</v>
      </c>
      <c r="R63" s="63">
        <f t="shared" si="41"/>
        <v>-0.0246</v>
      </c>
      <c r="S63" s="63">
        <f t="shared" si="42"/>
        <v>-0.0238</v>
      </c>
      <c r="T63" s="63">
        <f t="shared" si="43"/>
        <v>-0.0235</v>
      </c>
      <c r="U63" s="63">
        <f t="shared" si="44"/>
        <v>-0.0234</v>
      </c>
      <c r="V63" s="63">
        <f t="shared" si="45"/>
        <v>-0.0232</v>
      </c>
      <c r="W63" s="63">
        <f t="shared" si="46"/>
        <v>-0.0235</v>
      </c>
      <c r="X63" s="63">
        <f t="shared" si="47"/>
        <v>-0.0234</v>
      </c>
      <c r="Y63" s="63">
        <f t="shared" si="48"/>
        <v>-0.0237</v>
      </c>
      <c r="Z63" s="63">
        <f t="shared" si="49"/>
        <v>-0.0238</v>
      </c>
      <c r="AA63" s="8" t="s">
        <v>159</v>
      </c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</row>
    <row r="64">
      <c r="A64" s="8"/>
      <c r="B64" s="65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</row>
    <row r="65">
      <c r="A65" s="61" t="s">
        <v>138</v>
      </c>
      <c r="C65" s="8" t="s">
        <v>116</v>
      </c>
      <c r="D65" s="8" t="s">
        <v>160</v>
      </c>
      <c r="E65" s="8" t="s">
        <v>118</v>
      </c>
      <c r="F65" s="55" t="s">
        <v>139</v>
      </c>
      <c r="G65" s="66">
        <f>38/60</f>
        <v>0.6333333333</v>
      </c>
      <c r="H65" s="66">
        <f t="shared" ref="H65:Z65" si="56">G65+0.5</f>
        <v>1.133333333</v>
      </c>
      <c r="I65" s="66">
        <f t="shared" si="56"/>
        <v>1.633333333</v>
      </c>
      <c r="J65" s="66">
        <f t="shared" si="56"/>
        <v>2.133333333</v>
      </c>
      <c r="K65" s="66">
        <f t="shared" si="56"/>
        <v>2.633333333</v>
      </c>
      <c r="L65" s="66">
        <f t="shared" si="56"/>
        <v>3.133333333</v>
      </c>
      <c r="M65" s="66">
        <f t="shared" si="56"/>
        <v>3.633333333</v>
      </c>
      <c r="N65" s="66">
        <f t="shared" si="56"/>
        <v>4.133333333</v>
      </c>
      <c r="O65" s="66">
        <f t="shared" si="56"/>
        <v>4.633333333</v>
      </c>
      <c r="P65" s="66">
        <f t="shared" si="56"/>
        <v>5.133333333</v>
      </c>
      <c r="Q65" s="66">
        <f t="shared" si="56"/>
        <v>5.633333333</v>
      </c>
      <c r="R65" s="66">
        <f t="shared" si="56"/>
        <v>6.133333333</v>
      </c>
      <c r="S65" s="66">
        <f t="shared" si="56"/>
        <v>6.633333333</v>
      </c>
      <c r="T65" s="66">
        <f t="shared" si="56"/>
        <v>7.133333333</v>
      </c>
      <c r="U65" s="66">
        <f t="shared" si="56"/>
        <v>7.633333333</v>
      </c>
      <c r="V65" s="66">
        <f t="shared" si="56"/>
        <v>8.133333333</v>
      </c>
      <c r="W65" s="66">
        <f t="shared" si="56"/>
        <v>8.633333333</v>
      </c>
      <c r="X65" s="66">
        <f t="shared" si="56"/>
        <v>9.133333333</v>
      </c>
      <c r="Y65" s="66">
        <f t="shared" si="56"/>
        <v>9.633333333</v>
      </c>
      <c r="Z65" s="66">
        <f t="shared" si="56"/>
        <v>10.13333333</v>
      </c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</row>
    <row r="66">
      <c r="C66" s="8" t="s">
        <v>116</v>
      </c>
      <c r="D66" s="8" t="s">
        <v>161</v>
      </c>
      <c r="E66" s="8" t="s">
        <v>118</v>
      </c>
      <c r="F66" s="55" t="s">
        <v>139</v>
      </c>
      <c r="G66" s="66">
        <f>35/60</f>
        <v>0.5833333333</v>
      </c>
      <c r="H66" s="66">
        <f t="shared" ref="H66:Z66" si="57">G66+0.5</f>
        <v>1.083333333</v>
      </c>
      <c r="I66" s="66">
        <f t="shared" si="57"/>
        <v>1.583333333</v>
      </c>
      <c r="J66" s="66">
        <f t="shared" si="57"/>
        <v>2.083333333</v>
      </c>
      <c r="K66" s="66">
        <f t="shared" si="57"/>
        <v>2.583333333</v>
      </c>
      <c r="L66" s="66">
        <f t="shared" si="57"/>
        <v>3.083333333</v>
      </c>
      <c r="M66" s="66">
        <f t="shared" si="57"/>
        <v>3.583333333</v>
      </c>
      <c r="N66" s="66">
        <f t="shared" si="57"/>
        <v>4.083333333</v>
      </c>
      <c r="O66" s="66">
        <f t="shared" si="57"/>
        <v>4.583333333</v>
      </c>
      <c r="P66" s="66">
        <f t="shared" si="57"/>
        <v>5.083333333</v>
      </c>
      <c r="Q66" s="66">
        <f t="shared" si="57"/>
        <v>5.583333333</v>
      </c>
      <c r="R66" s="66">
        <f t="shared" si="57"/>
        <v>6.083333333</v>
      </c>
      <c r="S66" s="66">
        <f t="shared" si="57"/>
        <v>6.583333333</v>
      </c>
      <c r="T66" s="66">
        <f t="shared" si="57"/>
        <v>7.083333333</v>
      </c>
      <c r="U66" s="66">
        <f t="shared" si="57"/>
        <v>7.583333333</v>
      </c>
      <c r="V66" s="66">
        <f t="shared" si="57"/>
        <v>8.083333333</v>
      </c>
      <c r="W66" s="66">
        <f t="shared" si="57"/>
        <v>8.583333333</v>
      </c>
      <c r="X66" s="66">
        <f t="shared" si="57"/>
        <v>9.083333333</v>
      </c>
      <c r="Y66" s="66">
        <f t="shared" si="57"/>
        <v>9.583333333</v>
      </c>
      <c r="Z66" s="66">
        <f t="shared" si="57"/>
        <v>10.08333333</v>
      </c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</row>
    <row r="67">
      <c r="C67" s="8" t="s">
        <v>116</v>
      </c>
      <c r="D67" s="8" t="s">
        <v>149</v>
      </c>
      <c r="E67" s="8" t="s">
        <v>118</v>
      </c>
      <c r="F67" s="55" t="s">
        <v>139</v>
      </c>
      <c r="G67" s="66">
        <f>32/60</f>
        <v>0.5333333333</v>
      </c>
      <c r="H67" s="66">
        <f t="shared" ref="H67:Z67" si="58">G67+0.5</f>
        <v>1.033333333</v>
      </c>
      <c r="I67" s="66">
        <f t="shared" si="58"/>
        <v>1.533333333</v>
      </c>
      <c r="J67" s="66">
        <f t="shared" si="58"/>
        <v>2.033333333</v>
      </c>
      <c r="K67" s="66">
        <f t="shared" si="58"/>
        <v>2.533333333</v>
      </c>
      <c r="L67" s="66">
        <f t="shared" si="58"/>
        <v>3.033333333</v>
      </c>
      <c r="M67" s="66">
        <f t="shared" si="58"/>
        <v>3.533333333</v>
      </c>
      <c r="N67" s="66">
        <f t="shared" si="58"/>
        <v>4.033333333</v>
      </c>
      <c r="O67" s="66">
        <f t="shared" si="58"/>
        <v>4.533333333</v>
      </c>
      <c r="P67" s="66">
        <f t="shared" si="58"/>
        <v>5.033333333</v>
      </c>
      <c r="Q67" s="66">
        <f t="shared" si="58"/>
        <v>5.533333333</v>
      </c>
      <c r="R67" s="66">
        <f t="shared" si="58"/>
        <v>6.033333333</v>
      </c>
      <c r="S67" s="66">
        <f t="shared" si="58"/>
        <v>6.533333333</v>
      </c>
      <c r="T67" s="66">
        <f t="shared" si="58"/>
        <v>7.033333333</v>
      </c>
      <c r="U67" s="66">
        <f t="shared" si="58"/>
        <v>7.533333333</v>
      </c>
      <c r="V67" s="66">
        <f t="shared" si="58"/>
        <v>8.033333333</v>
      </c>
      <c r="W67" s="66">
        <f t="shared" si="58"/>
        <v>8.533333333</v>
      </c>
      <c r="X67" s="66">
        <f t="shared" si="58"/>
        <v>9.033333333</v>
      </c>
      <c r="Y67" s="66">
        <f t="shared" si="58"/>
        <v>9.533333333</v>
      </c>
      <c r="Z67" s="66">
        <f t="shared" si="58"/>
        <v>10.03333333</v>
      </c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</row>
    <row r="68">
      <c r="C68" s="8" t="s">
        <v>116</v>
      </c>
      <c r="D68" s="8" t="s">
        <v>151</v>
      </c>
      <c r="E68" s="8" t="s">
        <v>118</v>
      </c>
      <c r="F68" s="55" t="s">
        <v>139</v>
      </c>
      <c r="G68" s="66">
        <f>29/60</f>
        <v>0.4833333333</v>
      </c>
      <c r="H68" s="66">
        <f t="shared" ref="H68:Z68" si="59">G68+0.5</f>
        <v>0.9833333333</v>
      </c>
      <c r="I68" s="66">
        <f t="shared" si="59"/>
        <v>1.483333333</v>
      </c>
      <c r="J68" s="66">
        <f t="shared" si="59"/>
        <v>1.983333333</v>
      </c>
      <c r="K68" s="66">
        <f t="shared" si="59"/>
        <v>2.483333333</v>
      </c>
      <c r="L68" s="66">
        <f t="shared" si="59"/>
        <v>2.983333333</v>
      </c>
      <c r="M68" s="66">
        <f t="shared" si="59"/>
        <v>3.483333333</v>
      </c>
      <c r="N68" s="66">
        <f t="shared" si="59"/>
        <v>3.983333333</v>
      </c>
      <c r="O68" s="66">
        <f t="shared" si="59"/>
        <v>4.483333333</v>
      </c>
      <c r="P68" s="66">
        <f t="shared" si="59"/>
        <v>4.983333333</v>
      </c>
      <c r="Q68" s="66">
        <f t="shared" si="59"/>
        <v>5.483333333</v>
      </c>
      <c r="R68" s="66">
        <f t="shared" si="59"/>
        <v>5.983333333</v>
      </c>
      <c r="S68" s="66">
        <f t="shared" si="59"/>
        <v>6.483333333</v>
      </c>
      <c r="T68" s="66">
        <f t="shared" si="59"/>
        <v>6.983333333</v>
      </c>
      <c r="U68" s="66">
        <f t="shared" si="59"/>
        <v>7.483333333</v>
      </c>
      <c r="V68" s="66">
        <f t="shared" si="59"/>
        <v>7.983333333</v>
      </c>
      <c r="W68" s="66">
        <f t="shared" si="59"/>
        <v>8.483333333</v>
      </c>
      <c r="X68" s="66">
        <f t="shared" si="59"/>
        <v>8.983333333</v>
      </c>
      <c r="Y68" s="66">
        <f t="shared" si="59"/>
        <v>9.483333333</v>
      </c>
      <c r="Z68" s="66">
        <f t="shared" si="59"/>
        <v>9.983333333</v>
      </c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</row>
    <row r="69">
      <c r="C69" s="8" t="s">
        <v>116</v>
      </c>
      <c r="D69" s="8" t="s">
        <v>153</v>
      </c>
      <c r="E69" s="8" t="s">
        <v>118</v>
      </c>
      <c r="F69" s="55" t="s">
        <v>139</v>
      </c>
      <c r="G69" s="66">
        <f>26/60</f>
        <v>0.4333333333</v>
      </c>
      <c r="H69" s="66">
        <f t="shared" ref="H69:Z69" si="60">G69+0.5</f>
        <v>0.9333333333</v>
      </c>
      <c r="I69" s="66">
        <f t="shared" si="60"/>
        <v>1.433333333</v>
      </c>
      <c r="J69" s="66">
        <f t="shared" si="60"/>
        <v>1.933333333</v>
      </c>
      <c r="K69" s="66">
        <f t="shared" si="60"/>
        <v>2.433333333</v>
      </c>
      <c r="L69" s="66">
        <f t="shared" si="60"/>
        <v>2.933333333</v>
      </c>
      <c r="M69" s="66">
        <f t="shared" si="60"/>
        <v>3.433333333</v>
      </c>
      <c r="N69" s="66">
        <f t="shared" si="60"/>
        <v>3.933333333</v>
      </c>
      <c r="O69" s="66">
        <f t="shared" si="60"/>
        <v>4.433333333</v>
      </c>
      <c r="P69" s="66">
        <f t="shared" si="60"/>
        <v>4.933333333</v>
      </c>
      <c r="Q69" s="66">
        <f t="shared" si="60"/>
        <v>5.433333333</v>
      </c>
      <c r="R69" s="66">
        <f t="shared" si="60"/>
        <v>5.933333333</v>
      </c>
      <c r="S69" s="66">
        <f t="shared" si="60"/>
        <v>6.433333333</v>
      </c>
      <c r="T69" s="66">
        <f t="shared" si="60"/>
        <v>6.933333333</v>
      </c>
      <c r="U69" s="66">
        <f t="shared" si="60"/>
        <v>7.433333333</v>
      </c>
      <c r="V69" s="66">
        <f t="shared" si="60"/>
        <v>7.933333333</v>
      </c>
      <c r="W69" s="66">
        <f t="shared" si="60"/>
        <v>8.433333333</v>
      </c>
      <c r="X69" s="66">
        <f t="shared" si="60"/>
        <v>8.933333333</v>
      </c>
      <c r="Y69" s="66">
        <f t="shared" si="60"/>
        <v>9.433333333</v>
      </c>
      <c r="Z69" s="66">
        <f t="shared" si="60"/>
        <v>9.933333333</v>
      </c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</row>
    <row r="70">
      <c r="C70" s="8" t="s">
        <v>116</v>
      </c>
      <c r="D70" s="8" t="s">
        <v>155</v>
      </c>
      <c r="E70" s="8" t="s">
        <v>118</v>
      </c>
      <c r="F70" s="55" t="s">
        <v>139</v>
      </c>
      <c r="G70" s="66">
        <f>23/60</f>
        <v>0.3833333333</v>
      </c>
      <c r="H70" s="66">
        <f t="shared" ref="H70:Z70" si="61">G70+0.5</f>
        <v>0.8833333333</v>
      </c>
      <c r="I70" s="66">
        <f t="shared" si="61"/>
        <v>1.383333333</v>
      </c>
      <c r="J70" s="66">
        <f t="shared" si="61"/>
        <v>1.883333333</v>
      </c>
      <c r="K70" s="66">
        <f t="shared" si="61"/>
        <v>2.383333333</v>
      </c>
      <c r="L70" s="66">
        <f t="shared" si="61"/>
        <v>2.883333333</v>
      </c>
      <c r="M70" s="66">
        <f t="shared" si="61"/>
        <v>3.383333333</v>
      </c>
      <c r="N70" s="66">
        <f t="shared" si="61"/>
        <v>3.883333333</v>
      </c>
      <c r="O70" s="66">
        <f t="shared" si="61"/>
        <v>4.383333333</v>
      </c>
      <c r="P70" s="66">
        <f t="shared" si="61"/>
        <v>4.883333333</v>
      </c>
      <c r="Q70" s="66">
        <f t="shared" si="61"/>
        <v>5.383333333</v>
      </c>
      <c r="R70" s="66">
        <f t="shared" si="61"/>
        <v>5.883333333</v>
      </c>
      <c r="S70" s="66">
        <f t="shared" si="61"/>
        <v>6.383333333</v>
      </c>
      <c r="T70" s="66">
        <f t="shared" si="61"/>
        <v>6.883333333</v>
      </c>
      <c r="U70" s="66">
        <f t="shared" si="61"/>
        <v>7.383333333</v>
      </c>
      <c r="V70" s="66">
        <f t="shared" si="61"/>
        <v>7.883333333</v>
      </c>
      <c r="W70" s="66">
        <f t="shared" si="61"/>
        <v>8.383333333</v>
      </c>
      <c r="X70" s="66">
        <f t="shared" si="61"/>
        <v>8.883333333</v>
      </c>
      <c r="Y70" s="66">
        <f t="shared" si="61"/>
        <v>9.383333333</v>
      </c>
      <c r="Z70" s="66">
        <f t="shared" si="61"/>
        <v>9.883333333</v>
      </c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</row>
    <row r="71">
      <c r="C71" s="8" t="s">
        <v>116</v>
      </c>
      <c r="D71" s="8" t="s">
        <v>162</v>
      </c>
      <c r="E71" s="8" t="s">
        <v>118</v>
      </c>
      <c r="F71" s="55" t="s">
        <v>139</v>
      </c>
      <c r="G71" s="66">
        <v>0.33</v>
      </c>
      <c r="H71" s="66">
        <f t="shared" ref="H71:Z71" si="62">G71+0.5</f>
        <v>0.83</v>
      </c>
      <c r="I71" s="66">
        <f t="shared" si="62"/>
        <v>1.33</v>
      </c>
      <c r="J71" s="66">
        <f t="shared" si="62"/>
        <v>1.83</v>
      </c>
      <c r="K71" s="66">
        <f t="shared" si="62"/>
        <v>2.33</v>
      </c>
      <c r="L71" s="66">
        <f t="shared" si="62"/>
        <v>2.83</v>
      </c>
      <c r="M71" s="66">
        <f t="shared" si="62"/>
        <v>3.33</v>
      </c>
      <c r="N71" s="66">
        <f t="shared" si="62"/>
        <v>3.83</v>
      </c>
      <c r="O71" s="66">
        <f t="shared" si="62"/>
        <v>4.33</v>
      </c>
      <c r="P71" s="66">
        <f t="shared" si="62"/>
        <v>4.83</v>
      </c>
      <c r="Q71" s="66">
        <f t="shared" si="62"/>
        <v>5.33</v>
      </c>
      <c r="R71" s="66">
        <f t="shared" si="62"/>
        <v>5.83</v>
      </c>
      <c r="S71" s="66">
        <f t="shared" si="62"/>
        <v>6.33</v>
      </c>
      <c r="T71" s="66">
        <f t="shared" si="62"/>
        <v>6.83</v>
      </c>
      <c r="U71" s="66">
        <f t="shared" si="62"/>
        <v>7.33</v>
      </c>
      <c r="V71" s="66">
        <f t="shared" si="62"/>
        <v>7.83</v>
      </c>
      <c r="W71" s="66">
        <f t="shared" si="62"/>
        <v>8.33</v>
      </c>
      <c r="X71" s="66">
        <f t="shared" si="62"/>
        <v>8.83</v>
      </c>
      <c r="Y71" s="66">
        <f t="shared" si="62"/>
        <v>9.33</v>
      </c>
      <c r="Z71" s="66">
        <f t="shared" si="62"/>
        <v>9.83</v>
      </c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</row>
    <row r="72">
      <c r="C72" s="8" t="s">
        <v>109</v>
      </c>
      <c r="D72" s="8" t="s">
        <v>162</v>
      </c>
      <c r="E72" s="8" t="s">
        <v>118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</row>
    <row r="73">
      <c r="A73" s="8"/>
      <c r="B73" s="8" t="s">
        <v>88</v>
      </c>
      <c r="C73" s="8" t="s">
        <v>140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</row>
    <row r="74">
      <c r="A74" s="67" t="s">
        <v>141</v>
      </c>
      <c r="B74" s="8" t="s">
        <v>160</v>
      </c>
      <c r="C74" s="68">
        <f t="shared" ref="C74:C80" si="63">G56/(G65*60)</f>
        <v>0.003281578947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</row>
    <row r="75">
      <c r="A75" s="8"/>
      <c r="B75" s="8" t="s">
        <v>161</v>
      </c>
      <c r="C75" s="68">
        <f t="shared" si="63"/>
        <v>0.006042857143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</row>
    <row r="76">
      <c r="A76" s="8"/>
      <c r="B76" s="8" t="s">
        <v>149</v>
      </c>
      <c r="C76" s="68">
        <f t="shared" si="63"/>
        <v>0.0078625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</row>
    <row r="77">
      <c r="A77" s="8"/>
      <c r="B77" s="8" t="s">
        <v>151</v>
      </c>
      <c r="C77" s="68">
        <f t="shared" si="63"/>
        <v>0.009168965517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</row>
    <row r="78">
      <c r="A78" s="8"/>
      <c r="B78" s="8" t="s">
        <v>153</v>
      </c>
      <c r="C78" s="68">
        <f t="shared" si="63"/>
        <v>0.01006923077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</row>
    <row r="79">
      <c r="A79" s="8"/>
      <c r="B79" s="8" t="s">
        <v>155</v>
      </c>
      <c r="C79" s="68">
        <f t="shared" si="63"/>
        <v>0.01060869565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</row>
    <row r="80">
      <c r="A80" s="8"/>
      <c r="B80" s="8" t="s">
        <v>162</v>
      </c>
      <c r="C80" s="68">
        <f t="shared" si="63"/>
        <v>0.01232323232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</row>
    <row r="81">
      <c r="A81" s="8"/>
      <c r="B81" s="8"/>
      <c r="C81" s="72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</row>
    <row r="85">
      <c r="A85" s="73"/>
      <c r="B85" s="74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</row>
    <row r="87">
      <c r="A87" s="50" t="s">
        <v>163</v>
      </c>
      <c r="C87" s="8" t="s">
        <v>113</v>
      </c>
      <c r="D87" s="8" t="s">
        <v>113</v>
      </c>
      <c r="E87" s="8"/>
      <c r="F87" s="8"/>
      <c r="G87" s="9">
        <v>0.0474</v>
      </c>
      <c r="H87" s="9">
        <v>0.0472</v>
      </c>
      <c r="I87" s="9">
        <v>0.0473</v>
      </c>
      <c r="J87" s="9">
        <v>0.0474</v>
      </c>
      <c r="K87" s="9">
        <v>0.0477</v>
      </c>
      <c r="L87" s="9">
        <v>0.0477</v>
      </c>
      <c r="M87" s="9">
        <v>0.0485</v>
      </c>
      <c r="N87" s="9">
        <v>0.0481</v>
      </c>
      <c r="O87" s="9">
        <v>0.0486</v>
      </c>
      <c r="P87" s="9">
        <v>0.0485</v>
      </c>
      <c r="Q87" s="9">
        <v>0.0489</v>
      </c>
      <c r="R87" s="9">
        <v>0.0487</v>
      </c>
      <c r="S87" s="9">
        <v>0.0492</v>
      </c>
      <c r="T87" s="9">
        <v>0.0495</v>
      </c>
      <c r="U87" s="9">
        <v>0.0494</v>
      </c>
      <c r="V87" s="9">
        <v>0.0496</v>
      </c>
      <c r="W87" s="9">
        <v>0.0501</v>
      </c>
      <c r="X87" s="9">
        <v>0.05</v>
      </c>
      <c r="Y87" s="9">
        <v>0.0502</v>
      </c>
      <c r="Z87" s="9">
        <v>0.0503</v>
      </c>
      <c r="AA87" s="8" t="s">
        <v>164</v>
      </c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</row>
    <row r="88">
      <c r="C88" s="8" t="s">
        <v>109</v>
      </c>
      <c r="D88" s="8" t="s">
        <v>122</v>
      </c>
      <c r="E88" s="8" t="s">
        <v>118</v>
      </c>
      <c r="F88" s="8"/>
      <c r="G88" s="9">
        <v>0.0506</v>
      </c>
      <c r="H88" s="9">
        <v>0.0507</v>
      </c>
      <c r="I88" s="9">
        <v>0.0508</v>
      </c>
      <c r="J88" s="9">
        <v>0.0508</v>
      </c>
      <c r="K88" s="9">
        <v>0.0513</v>
      </c>
      <c r="L88" s="9">
        <v>0.0511</v>
      </c>
      <c r="M88" s="9">
        <v>0.0514</v>
      </c>
      <c r="N88" s="9">
        <v>0.0513</v>
      </c>
      <c r="O88" s="9">
        <v>0.0517</v>
      </c>
      <c r="P88" s="9">
        <v>0.0516</v>
      </c>
      <c r="Q88" s="9">
        <v>0.0521</v>
      </c>
      <c r="R88" s="9">
        <v>0.0525</v>
      </c>
      <c r="S88" s="9">
        <v>0.0523</v>
      </c>
      <c r="T88" s="9">
        <v>0.0524</v>
      </c>
      <c r="U88" s="9">
        <v>0.053</v>
      </c>
      <c r="V88" s="9">
        <v>0.053</v>
      </c>
      <c r="W88" s="9">
        <v>0.0532</v>
      </c>
      <c r="X88" s="9">
        <v>0.0531</v>
      </c>
      <c r="Y88" s="9">
        <v>0.0536</v>
      </c>
      <c r="Z88" s="9">
        <v>0.0536</v>
      </c>
      <c r="AA88" s="8" t="s">
        <v>165</v>
      </c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</row>
    <row r="89">
      <c r="C89" s="8" t="s">
        <v>116</v>
      </c>
      <c r="D89" s="8" t="s">
        <v>122</v>
      </c>
      <c r="E89" s="8" t="s">
        <v>118</v>
      </c>
      <c r="F89" s="8"/>
      <c r="G89" s="75">
        <v>0.7767</v>
      </c>
      <c r="H89" s="75">
        <v>0.9368</v>
      </c>
      <c r="I89" s="9">
        <v>1.0849</v>
      </c>
      <c r="J89" s="9">
        <v>1.2419</v>
      </c>
      <c r="K89" s="9">
        <v>1.4022</v>
      </c>
      <c r="L89" s="9">
        <v>1.5634</v>
      </c>
      <c r="M89" s="9">
        <v>1.7226</v>
      </c>
      <c r="N89" s="9">
        <v>1.8814</v>
      </c>
      <c r="O89" s="9">
        <v>2.0399</v>
      </c>
      <c r="P89" s="9">
        <v>2.1911</v>
      </c>
      <c r="Q89" s="9">
        <v>2.3309</v>
      </c>
      <c r="R89" s="9">
        <v>2.4602</v>
      </c>
      <c r="S89" s="9">
        <v>2.5657</v>
      </c>
      <c r="T89" s="9">
        <v>2.6345</v>
      </c>
      <c r="U89" s="9">
        <v>2.6888</v>
      </c>
      <c r="V89" s="9">
        <v>2.6907</v>
      </c>
      <c r="W89" s="9">
        <v>2.6895</v>
      </c>
      <c r="X89" s="9">
        <v>2.6891</v>
      </c>
      <c r="Y89" s="9">
        <v>2.6832</v>
      </c>
      <c r="Z89" s="9">
        <v>2.6783</v>
      </c>
      <c r="AA89" s="8" t="s">
        <v>166</v>
      </c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</row>
    <row r="90">
      <c r="C90" s="8" t="s">
        <v>116</v>
      </c>
      <c r="D90" s="8" t="s">
        <v>124</v>
      </c>
      <c r="E90" s="8" t="s">
        <v>118</v>
      </c>
      <c r="F90" s="8"/>
      <c r="G90" s="75">
        <v>0.6976</v>
      </c>
      <c r="H90" s="75">
        <v>0.8301</v>
      </c>
      <c r="I90" s="9">
        <v>0.9348</v>
      </c>
      <c r="J90" s="9">
        <v>1.0419</v>
      </c>
      <c r="K90" s="9">
        <v>1.1073</v>
      </c>
      <c r="L90" s="9">
        <v>1.1434</v>
      </c>
      <c r="M90" s="9">
        <v>1.1574</v>
      </c>
      <c r="N90" s="9">
        <v>1.1725</v>
      </c>
      <c r="O90" s="9">
        <v>1.1675</v>
      </c>
      <c r="P90" s="9">
        <v>1.169</v>
      </c>
      <c r="Q90" s="9">
        <v>1.1669</v>
      </c>
      <c r="R90" s="9">
        <v>1.1659</v>
      </c>
      <c r="S90" s="9">
        <v>1.1655</v>
      </c>
      <c r="T90" s="9">
        <v>1.1627</v>
      </c>
      <c r="U90" s="9">
        <v>1.1604</v>
      </c>
      <c r="V90" s="9">
        <v>1.1584</v>
      </c>
      <c r="W90" s="9">
        <v>1.1571</v>
      </c>
      <c r="X90" s="9">
        <v>1.1543</v>
      </c>
      <c r="Y90" s="9">
        <v>1.1526</v>
      </c>
      <c r="Z90" s="9">
        <v>1.1505</v>
      </c>
      <c r="AA90" s="8" t="s">
        <v>167</v>
      </c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</row>
    <row r="91">
      <c r="C91" s="8" t="s">
        <v>116</v>
      </c>
      <c r="D91" s="8" t="s">
        <v>126</v>
      </c>
      <c r="E91" s="8" t="s">
        <v>118</v>
      </c>
      <c r="F91" s="8"/>
      <c r="G91" s="75">
        <v>0.5968</v>
      </c>
      <c r="H91" s="75">
        <v>0.6718</v>
      </c>
      <c r="I91" s="9">
        <v>0.7108</v>
      </c>
      <c r="J91" s="9">
        <v>0.7393</v>
      </c>
      <c r="K91" s="9">
        <v>0.746</v>
      </c>
      <c r="L91" s="9">
        <v>0.7451</v>
      </c>
      <c r="M91" s="9">
        <v>0.7568</v>
      </c>
      <c r="N91" s="9">
        <v>0.7505</v>
      </c>
      <c r="O91" s="9">
        <v>0.7467</v>
      </c>
      <c r="P91" s="9">
        <v>0.7473</v>
      </c>
      <c r="Q91" s="9">
        <v>0.7467</v>
      </c>
      <c r="R91" s="9">
        <v>0.7462</v>
      </c>
      <c r="S91" s="9">
        <v>0.7452</v>
      </c>
      <c r="T91" s="9">
        <v>0.7438</v>
      </c>
      <c r="U91" s="9">
        <v>0.7416</v>
      </c>
      <c r="V91" s="9">
        <v>0.7403</v>
      </c>
      <c r="W91" s="9">
        <v>0.7393</v>
      </c>
      <c r="X91" s="9">
        <v>0.7382</v>
      </c>
      <c r="Y91" s="9">
        <v>0.7362</v>
      </c>
      <c r="Z91" s="9">
        <v>0.7351</v>
      </c>
      <c r="AA91" s="8" t="s">
        <v>168</v>
      </c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</row>
    <row r="92">
      <c r="C92" s="8" t="s">
        <v>116</v>
      </c>
      <c r="D92" s="8" t="s">
        <v>128</v>
      </c>
      <c r="E92" s="8" t="s">
        <v>118</v>
      </c>
      <c r="F92" s="8"/>
      <c r="G92" s="75">
        <v>0.4308</v>
      </c>
      <c r="H92" s="75">
        <v>0.4407</v>
      </c>
      <c r="I92" s="9">
        <v>0.4514</v>
      </c>
      <c r="J92" s="9">
        <v>0.4518</v>
      </c>
      <c r="K92" s="9">
        <v>0.4519</v>
      </c>
      <c r="L92" s="9">
        <v>0.4548</v>
      </c>
      <c r="M92" s="9">
        <v>0.4539</v>
      </c>
      <c r="N92" s="9">
        <v>0.4544</v>
      </c>
      <c r="O92" s="9">
        <v>0.4569</v>
      </c>
      <c r="P92" s="9">
        <v>0.4551</v>
      </c>
      <c r="Q92" s="9">
        <v>0.4534</v>
      </c>
      <c r="R92" s="9">
        <v>0.4542</v>
      </c>
      <c r="S92" s="9">
        <v>0.4529</v>
      </c>
      <c r="T92" s="9">
        <v>0.4528</v>
      </c>
      <c r="U92" s="9">
        <v>0.4514</v>
      </c>
      <c r="V92" s="9">
        <v>0.4512</v>
      </c>
      <c r="W92" s="9">
        <v>0.4501</v>
      </c>
      <c r="X92" s="9">
        <v>0.4489</v>
      </c>
      <c r="Y92" s="9">
        <v>0.4485</v>
      </c>
      <c r="Z92" s="9">
        <v>0.4474</v>
      </c>
      <c r="AA92" s="8" t="s">
        <v>169</v>
      </c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</row>
    <row r="93">
      <c r="C93" s="8" t="s">
        <v>116</v>
      </c>
      <c r="D93" s="8" t="s">
        <v>130</v>
      </c>
      <c r="E93" s="8" t="s">
        <v>118</v>
      </c>
      <c r="F93" s="8"/>
      <c r="G93" s="75">
        <v>0.267</v>
      </c>
      <c r="H93" s="75">
        <v>0.2708</v>
      </c>
      <c r="I93" s="9">
        <v>0.2727</v>
      </c>
      <c r="J93" s="9">
        <v>0.273</v>
      </c>
      <c r="K93" s="9">
        <v>0.2739</v>
      </c>
      <c r="L93" s="9">
        <v>0.2795</v>
      </c>
      <c r="M93" s="9">
        <v>0.2742</v>
      </c>
      <c r="N93" s="9">
        <v>0.2798</v>
      </c>
      <c r="O93" s="9">
        <v>0.2745</v>
      </c>
      <c r="P93" s="9">
        <v>0.2743</v>
      </c>
      <c r="Q93" s="9">
        <v>0.2739</v>
      </c>
      <c r="R93" s="9">
        <v>0.2736</v>
      </c>
      <c r="S93" s="9">
        <v>0.2735</v>
      </c>
      <c r="T93" s="9">
        <v>0.273</v>
      </c>
      <c r="U93" s="9">
        <v>0.2728</v>
      </c>
      <c r="V93" s="9">
        <v>0.2728</v>
      </c>
      <c r="W93" s="9">
        <v>0.2725</v>
      </c>
      <c r="X93" s="9">
        <v>0.2717</v>
      </c>
      <c r="Y93" s="9">
        <v>0.2719</v>
      </c>
      <c r="Z93" s="9">
        <v>0.2714</v>
      </c>
      <c r="AA93" s="8" t="s">
        <v>170</v>
      </c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</row>
    <row r="94">
      <c r="C94" s="8" t="s">
        <v>116</v>
      </c>
      <c r="D94" s="8" t="s">
        <v>153</v>
      </c>
      <c r="E94" s="8" t="s">
        <v>118</v>
      </c>
      <c r="F94" s="8"/>
      <c r="G94" s="75">
        <v>0.5653</v>
      </c>
      <c r="H94" s="75">
        <v>0.6213</v>
      </c>
      <c r="I94" s="9">
        <v>0.6599</v>
      </c>
      <c r="J94" s="9">
        <v>0.6758</v>
      </c>
      <c r="K94" s="9">
        <v>0.6823</v>
      </c>
      <c r="L94" s="9">
        <v>0.6842</v>
      </c>
      <c r="M94" s="9">
        <v>0.6865</v>
      </c>
      <c r="N94" s="9">
        <v>0.6871</v>
      </c>
      <c r="O94" s="9">
        <v>0.6864</v>
      </c>
      <c r="P94" s="9">
        <v>0.6851</v>
      </c>
      <c r="Q94" s="9">
        <v>0.684</v>
      </c>
      <c r="R94" s="9">
        <v>0.6841</v>
      </c>
      <c r="S94" s="9">
        <v>0.683</v>
      </c>
      <c r="T94" s="9">
        <v>0.6833</v>
      </c>
      <c r="U94" s="9">
        <v>0.6825</v>
      </c>
      <c r="V94" s="9">
        <v>0.6818</v>
      </c>
      <c r="W94" s="9">
        <v>0.6783</v>
      </c>
      <c r="X94" s="9">
        <v>0.6759</v>
      </c>
      <c r="Y94" s="9">
        <v>0.674</v>
      </c>
      <c r="Z94" s="9">
        <v>0.6725</v>
      </c>
      <c r="AA94" s="8" t="s">
        <v>171</v>
      </c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</row>
    <row r="95">
      <c r="C95" s="8" t="s">
        <v>116</v>
      </c>
      <c r="D95" s="8" t="s">
        <v>151</v>
      </c>
      <c r="E95" s="8" t="s">
        <v>118</v>
      </c>
      <c r="F95" s="8"/>
      <c r="G95" s="75">
        <v>0.4649</v>
      </c>
      <c r="H95" s="75">
        <v>0.4987</v>
      </c>
      <c r="I95" s="9">
        <v>0.5134</v>
      </c>
      <c r="J95" s="9">
        <v>0.5172</v>
      </c>
      <c r="K95" s="9">
        <v>0.5199</v>
      </c>
      <c r="L95" s="9">
        <v>0.5249</v>
      </c>
      <c r="M95" s="9">
        <v>0.5206</v>
      </c>
      <c r="N95" s="9">
        <v>0.5212</v>
      </c>
      <c r="O95" s="9">
        <v>0.5224</v>
      </c>
      <c r="P95" s="9">
        <v>0.5218</v>
      </c>
      <c r="Q95" s="9">
        <v>0.5205</v>
      </c>
      <c r="R95" s="9">
        <v>0.5219</v>
      </c>
      <c r="S95" s="9">
        <v>0.5217</v>
      </c>
      <c r="T95" s="9">
        <v>0.5209</v>
      </c>
      <c r="U95" s="9">
        <v>0.5188</v>
      </c>
      <c r="V95" s="9">
        <v>0.5166</v>
      </c>
      <c r="W95" s="9">
        <v>0.5159</v>
      </c>
      <c r="X95" s="9">
        <v>0.515</v>
      </c>
      <c r="Y95" s="9">
        <v>0.5131</v>
      </c>
      <c r="Z95" s="9">
        <v>0.512</v>
      </c>
      <c r="AA95" s="8" t="s">
        <v>172</v>
      </c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</row>
    <row r="96">
      <c r="A96" s="8"/>
      <c r="B96" s="65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</row>
    <row r="97">
      <c r="A97" s="61" t="s">
        <v>135</v>
      </c>
      <c r="C97" s="62" t="s">
        <v>109</v>
      </c>
      <c r="D97" s="8" t="s">
        <v>122</v>
      </c>
      <c r="E97" s="62" t="s">
        <v>118</v>
      </c>
      <c r="F97" s="62"/>
      <c r="G97" s="71">
        <f t="shared" ref="G97:G104" si="65">G88-0.0474</f>
        <v>0.0032</v>
      </c>
      <c r="H97" s="71">
        <f t="shared" ref="H97:H104" si="66">H88-0.0472</f>
        <v>0.0035</v>
      </c>
      <c r="I97" s="71">
        <f t="shared" ref="I97:I104" si="67">I88-0.0473</f>
        <v>0.0035</v>
      </c>
      <c r="J97" s="71">
        <f t="shared" ref="J97:J104" si="68">J88-0.0474</f>
        <v>0.0034</v>
      </c>
      <c r="K97" s="71">
        <f t="shared" ref="K97:L97" si="64">K88-0.0477</f>
        <v>0.0036</v>
      </c>
      <c r="L97" s="71">
        <f t="shared" si="64"/>
        <v>0.0034</v>
      </c>
      <c r="M97" s="71">
        <f t="shared" ref="M97:M104" si="70">M88-0.0485</f>
        <v>0.0029</v>
      </c>
      <c r="N97" s="71">
        <f t="shared" ref="N97:N104" si="71">N88-0.0481</f>
        <v>0.0032</v>
      </c>
      <c r="O97" s="71">
        <f t="shared" ref="O97:O104" si="72">O88-0.0486</f>
        <v>0.0031</v>
      </c>
      <c r="P97" s="71">
        <f t="shared" ref="P97:P104" si="73">P88-0.0485</f>
        <v>0.0031</v>
      </c>
      <c r="Q97" s="71">
        <f t="shared" ref="Q97:Q104" si="74">Q88-0.0489</f>
        <v>0.0032</v>
      </c>
      <c r="R97" s="71">
        <f t="shared" ref="R97:R104" si="75">R88-0.0487</f>
        <v>0.0038</v>
      </c>
      <c r="S97" s="71">
        <f t="shared" ref="S97:S104" si="76">S88-0.0492</f>
        <v>0.0031</v>
      </c>
      <c r="T97" s="71">
        <f t="shared" ref="T97:T104" si="77">T88-0.0495</f>
        <v>0.0029</v>
      </c>
      <c r="U97" s="71">
        <f t="shared" ref="U97:U104" si="78">U88-0.0494</f>
        <v>0.0036</v>
      </c>
      <c r="V97" s="71">
        <f t="shared" ref="V97:V104" si="79">V88-0.0496</f>
        <v>0.0034</v>
      </c>
      <c r="W97" s="71">
        <f t="shared" ref="W97:W104" si="80">W88-0.0501</f>
        <v>0.0031</v>
      </c>
      <c r="X97" s="71">
        <f t="shared" ref="X97:X104" si="81">X88-0.05</f>
        <v>0.0031</v>
      </c>
      <c r="Y97" s="71">
        <f t="shared" ref="Y97:Y104" si="82">Y88-0.0502</f>
        <v>0.0034</v>
      </c>
      <c r="Z97" s="71">
        <f t="shared" ref="Z97:Z104" si="83">Z88-0.0503</f>
        <v>0.0033</v>
      </c>
      <c r="AA97" s="8" t="s">
        <v>165</v>
      </c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</row>
    <row r="98">
      <c r="C98" s="62" t="s">
        <v>116</v>
      </c>
      <c r="D98" s="8" t="s">
        <v>122</v>
      </c>
      <c r="E98" s="62" t="s">
        <v>118</v>
      </c>
      <c r="F98" s="62"/>
      <c r="G98" s="71">
        <f t="shared" si="65"/>
        <v>0.7293</v>
      </c>
      <c r="H98" s="71">
        <f t="shared" si="66"/>
        <v>0.8896</v>
      </c>
      <c r="I98" s="71">
        <f t="shared" si="67"/>
        <v>1.0376</v>
      </c>
      <c r="J98" s="71">
        <f t="shared" si="68"/>
        <v>1.1945</v>
      </c>
      <c r="K98" s="71">
        <f t="shared" ref="K98:L98" si="69">K89-0.0477</f>
        <v>1.3545</v>
      </c>
      <c r="L98" s="71">
        <f t="shared" si="69"/>
        <v>1.5157</v>
      </c>
      <c r="M98" s="71">
        <f t="shared" si="70"/>
        <v>1.6741</v>
      </c>
      <c r="N98" s="71">
        <f t="shared" si="71"/>
        <v>1.8333</v>
      </c>
      <c r="O98" s="71">
        <f t="shared" si="72"/>
        <v>1.9913</v>
      </c>
      <c r="P98" s="71">
        <f t="shared" si="73"/>
        <v>2.1426</v>
      </c>
      <c r="Q98" s="71">
        <f t="shared" si="74"/>
        <v>2.282</v>
      </c>
      <c r="R98" s="71">
        <f t="shared" si="75"/>
        <v>2.4115</v>
      </c>
      <c r="S98" s="71">
        <f t="shared" si="76"/>
        <v>2.5165</v>
      </c>
      <c r="T98" s="71">
        <f t="shared" si="77"/>
        <v>2.585</v>
      </c>
      <c r="U98" s="71">
        <f t="shared" si="78"/>
        <v>2.6394</v>
      </c>
      <c r="V98" s="71">
        <f t="shared" si="79"/>
        <v>2.6411</v>
      </c>
      <c r="W98" s="71">
        <f t="shared" si="80"/>
        <v>2.6394</v>
      </c>
      <c r="X98" s="71">
        <f t="shared" si="81"/>
        <v>2.6391</v>
      </c>
      <c r="Y98" s="71">
        <f t="shared" si="82"/>
        <v>2.633</v>
      </c>
      <c r="Z98" s="71">
        <f t="shared" si="83"/>
        <v>2.628</v>
      </c>
      <c r="AA98" s="8" t="s">
        <v>166</v>
      </c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</row>
    <row r="99">
      <c r="C99" s="62" t="s">
        <v>116</v>
      </c>
      <c r="D99" s="8" t="s">
        <v>124</v>
      </c>
      <c r="E99" s="62" t="s">
        <v>118</v>
      </c>
      <c r="F99" s="62"/>
      <c r="G99" s="71">
        <f t="shared" si="65"/>
        <v>0.6502</v>
      </c>
      <c r="H99" s="71">
        <f t="shared" si="66"/>
        <v>0.7829</v>
      </c>
      <c r="I99" s="71">
        <f t="shared" si="67"/>
        <v>0.8875</v>
      </c>
      <c r="J99" s="71">
        <f t="shared" si="68"/>
        <v>0.9945</v>
      </c>
      <c r="K99" s="71">
        <f t="shared" ref="K99:L99" si="84">K90-0.0477</f>
        <v>1.0596</v>
      </c>
      <c r="L99" s="71">
        <f t="shared" si="84"/>
        <v>1.0957</v>
      </c>
      <c r="M99" s="71">
        <f t="shared" si="70"/>
        <v>1.1089</v>
      </c>
      <c r="N99" s="71">
        <f t="shared" si="71"/>
        <v>1.1244</v>
      </c>
      <c r="O99" s="71">
        <f t="shared" si="72"/>
        <v>1.1189</v>
      </c>
      <c r="P99" s="71">
        <f t="shared" si="73"/>
        <v>1.1205</v>
      </c>
      <c r="Q99" s="71">
        <f t="shared" si="74"/>
        <v>1.118</v>
      </c>
      <c r="R99" s="71">
        <f t="shared" si="75"/>
        <v>1.1172</v>
      </c>
      <c r="S99" s="71">
        <f t="shared" si="76"/>
        <v>1.1163</v>
      </c>
      <c r="T99" s="71">
        <f t="shared" si="77"/>
        <v>1.1132</v>
      </c>
      <c r="U99" s="71">
        <f t="shared" si="78"/>
        <v>1.111</v>
      </c>
      <c r="V99" s="71">
        <f t="shared" si="79"/>
        <v>1.1088</v>
      </c>
      <c r="W99" s="71">
        <f t="shared" si="80"/>
        <v>1.107</v>
      </c>
      <c r="X99" s="71">
        <f t="shared" si="81"/>
        <v>1.1043</v>
      </c>
      <c r="Y99" s="71">
        <f t="shared" si="82"/>
        <v>1.1024</v>
      </c>
      <c r="Z99" s="71">
        <f t="shared" si="83"/>
        <v>1.1002</v>
      </c>
      <c r="AA99" s="8" t="s">
        <v>167</v>
      </c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</row>
    <row r="100">
      <c r="C100" s="62" t="s">
        <v>116</v>
      </c>
      <c r="D100" s="8" t="s">
        <v>126</v>
      </c>
      <c r="E100" s="62" t="s">
        <v>118</v>
      </c>
      <c r="F100" s="62"/>
      <c r="G100" s="71">
        <f t="shared" si="65"/>
        <v>0.5494</v>
      </c>
      <c r="H100" s="71">
        <f t="shared" si="66"/>
        <v>0.6246</v>
      </c>
      <c r="I100" s="71">
        <f t="shared" si="67"/>
        <v>0.6635</v>
      </c>
      <c r="J100" s="71">
        <f t="shared" si="68"/>
        <v>0.6919</v>
      </c>
      <c r="K100" s="71">
        <f t="shared" ref="K100:L100" si="85">K91-0.0477</f>
        <v>0.6983</v>
      </c>
      <c r="L100" s="71">
        <f t="shared" si="85"/>
        <v>0.6974</v>
      </c>
      <c r="M100" s="71">
        <f t="shared" si="70"/>
        <v>0.7083</v>
      </c>
      <c r="N100" s="71">
        <f t="shared" si="71"/>
        <v>0.7024</v>
      </c>
      <c r="O100" s="71">
        <f t="shared" si="72"/>
        <v>0.6981</v>
      </c>
      <c r="P100" s="71">
        <f t="shared" si="73"/>
        <v>0.6988</v>
      </c>
      <c r="Q100" s="71">
        <f t="shared" si="74"/>
        <v>0.6978</v>
      </c>
      <c r="R100" s="71">
        <f t="shared" si="75"/>
        <v>0.6975</v>
      </c>
      <c r="S100" s="71">
        <f t="shared" si="76"/>
        <v>0.696</v>
      </c>
      <c r="T100" s="71">
        <f t="shared" si="77"/>
        <v>0.6943</v>
      </c>
      <c r="U100" s="71">
        <f t="shared" si="78"/>
        <v>0.6922</v>
      </c>
      <c r="V100" s="71">
        <f t="shared" si="79"/>
        <v>0.6907</v>
      </c>
      <c r="W100" s="71">
        <f t="shared" si="80"/>
        <v>0.6892</v>
      </c>
      <c r="X100" s="71">
        <f t="shared" si="81"/>
        <v>0.6882</v>
      </c>
      <c r="Y100" s="71">
        <f t="shared" si="82"/>
        <v>0.686</v>
      </c>
      <c r="Z100" s="71">
        <f t="shared" si="83"/>
        <v>0.6848</v>
      </c>
      <c r="AA100" s="8" t="s">
        <v>168</v>
      </c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</row>
    <row r="101">
      <c r="C101" s="62" t="s">
        <v>116</v>
      </c>
      <c r="D101" s="8" t="s">
        <v>128</v>
      </c>
      <c r="E101" s="62" t="s">
        <v>118</v>
      </c>
      <c r="F101" s="62"/>
      <c r="G101" s="71">
        <f t="shared" si="65"/>
        <v>0.3834</v>
      </c>
      <c r="H101" s="71">
        <f t="shared" si="66"/>
        <v>0.3935</v>
      </c>
      <c r="I101" s="71">
        <f t="shared" si="67"/>
        <v>0.4041</v>
      </c>
      <c r="J101" s="71">
        <f t="shared" si="68"/>
        <v>0.4044</v>
      </c>
      <c r="K101" s="71">
        <f t="shared" ref="K101:L101" si="86">K92-0.0477</f>
        <v>0.4042</v>
      </c>
      <c r="L101" s="71">
        <f t="shared" si="86"/>
        <v>0.4071</v>
      </c>
      <c r="M101" s="71">
        <f t="shared" si="70"/>
        <v>0.4054</v>
      </c>
      <c r="N101" s="71">
        <f t="shared" si="71"/>
        <v>0.4063</v>
      </c>
      <c r="O101" s="71">
        <f t="shared" si="72"/>
        <v>0.4083</v>
      </c>
      <c r="P101" s="71">
        <f t="shared" si="73"/>
        <v>0.4066</v>
      </c>
      <c r="Q101" s="71">
        <f t="shared" si="74"/>
        <v>0.4045</v>
      </c>
      <c r="R101" s="71">
        <f t="shared" si="75"/>
        <v>0.4055</v>
      </c>
      <c r="S101" s="71">
        <f t="shared" si="76"/>
        <v>0.4037</v>
      </c>
      <c r="T101" s="71">
        <f t="shared" si="77"/>
        <v>0.4033</v>
      </c>
      <c r="U101" s="71">
        <f t="shared" si="78"/>
        <v>0.402</v>
      </c>
      <c r="V101" s="71">
        <f t="shared" si="79"/>
        <v>0.4016</v>
      </c>
      <c r="W101" s="71">
        <f t="shared" si="80"/>
        <v>0.4</v>
      </c>
      <c r="X101" s="71">
        <f t="shared" si="81"/>
        <v>0.3989</v>
      </c>
      <c r="Y101" s="71">
        <f t="shared" si="82"/>
        <v>0.3983</v>
      </c>
      <c r="Z101" s="71">
        <f t="shared" si="83"/>
        <v>0.3971</v>
      </c>
      <c r="AA101" s="8" t="s">
        <v>169</v>
      </c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</row>
    <row r="102">
      <c r="C102" s="62" t="s">
        <v>116</v>
      </c>
      <c r="D102" s="8" t="s">
        <v>130</v>
      </c>
      <c r="E102" s="62" t="s">
        <v>118</v>
      </c>
      <c r="F102" s="62"/>
      <c r="G102" s="71">
        <f t="shared" si="65"/>
        <v>0.2196</v>
      </c>
      <c r="H102" s="71">
        <f t="shared" si="66"/>
        <v>0.2236</v>
      </c>
      <c r="I102" s="71">
        <f t="shared" si="67"/>
        <v>0.2254</v>
      </c>
      <c r="J102" s="71">
        <f t="shared" si="68"/>
        <v>0.2256</v>
      </c>
      <c r="K102" s="71">
        <f t="shared" ref="K102:L102" si="87">K93-0.0477</f>
        <v>0.2262</v>
      </c>
      <c r="L102" s="71">
        <f t="shared" si="87"/>
        <v>0.2318</v>
      </c>
      <c r="M102" s="71">
        <f t="shared" si="70"/>
        <v>0.2257</v>
      </c>
      <c r="N102" s="71">
        <f t="shared" si="71"/>
        <v>0.2317</v>
      </c>
      <c r="O102" s="71">
        <f t="shared" si="72"/>
        <v>0.2259</v>
      </c>
      <c r="P102" s="71">
        <f t="shared" si="73"/>
        <v>0.2258</v>
      </c>
      <c r="Q102" s="71">
        <f t="shared" si="74"/>
        <v>0.225</v>
      </c>
      <c r="R102" s="71">
        <f t="shared" si="75"/>
        <v>0.2249</v>
      </c>
      <c r="S102" s="71">
        <f t="shared" si="76"/>
        <v>0.2243</v>
      </c>
      <c r="T102" s="71">
        <f t="shared" si="77"/>
        <v>0.2235</v>
      </c>
      <c r="U102" s="71">
        <f t="shared" si="78"/>
        <v>0.2234</v>
      </c>
      <c r="V102" s="71">
        <f t="shared" si="79"/>
        <v>0.2232</v>
      </c>
      <c r="W102" s="71">
        <f t="shared" si="80"/>
        <v>0.2224</v>
      </c>
      <c r="X102" s="71">
        <f t="shared" si="81"/>
        <v>0.2217</v>
      </c>
      <c r="Y102" s="71">
        <f t="shared" si="82"/>
        <v>0.2217</v>
      </c>
      <c r="Z102" s="71">
        <f t="shared" si="83"/>
        <v>0.2211</v>
      </c>
      <c r="AA102" s="8" t="s">
        <v>170</v>
      </c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</row>
    <row r="103">
      <c r="C103" s="62" t="s">
        <v>116</v>
      </c>
      <c r="D103" s="8" t="s">
        <v>153</v>
      </c>
      <c r="E103" s="62" t="s">
        <v>118</v>
      </c>
      <c r="F103" s="62"/>
      <c r="G103" s="71">
        <f t="shared" si="65"/>
        <v>0.5179</v>
      </c>
      <c r="H103" s="71">
        <f t="shared" si="66"/>
        <v>0.5741</v>
      </c>
      <c r="I103" s="71">
        <f t="shared" si="67"/>
        <v>0.6126</v>
      </c>
      <c r="J103" s="71">
        <f t="shared" si="68"/>
        <v>0.6284</v>
      </c>
      <c r="K103" s="71">
        <f t="shared" ref="K103:L103" si="88">K94-0.0477</f>
        <v>0.6346</v>
      </c>
      <c r="L103" s="71">
        <f t="shared" si="88"/>
        <v>0.6365</v>
      </c>
      <c r="M103" s="71">
        <f t="shared" si="70"/>
        <v>0.638</v>
      </c>
      <c r="N103" s="71">
        <f t="shared" si="71"/>
        <v>0.639</v>
      </c>
      <c r="O103" s="71">
        <f t="shared" si="72"/>
        <v>0.6378</v>
      </c>
      <c r="P103" s="71">
        <f t="shared" si="73"/>
        <v>0.6366</v>
      </c>
      <c r="Q103" s="71">
        <f t="shared" si="74"/>
        <v>0.6351</v>
      </c>
      <c r="R103" s="71">
        <f t="shared" si="75"/>
        <v>0.6354</v>
      </c>
      <c r="S103" s="71">
        <f t="shared" si="76"/>
        <v>0.6338</v>
      </c>
      <c r="T103" s="71">
        <f t="shared" si="77"/>
        <v>0.6338</v>
      </c>
      <c r="U103" s="71">
        <f t="shared" si="78"/>
        <v>0.6331</v>
      </c>
      <c r="V103" s="71">
        <f t="shared" si="79"/>
        <v>0.6322</v>
      </c>
      <c r="W103" s="71">
        <f t="shared" si="80"/>
        <v>0.6282</v>
      </c>
      <c r="X103" s="71">
        <f t="shared" si="81"/>
        <v>0.6259</v>
      </c>
      <c r="Y103" s="71">
        <f t="shared" si="82"/>
        <v>0.6238</v>
      </c>
      <c r="Z103" s="71">
        <f t="shared" si="83"/>
        <v>0.6222</v>
      </c>
      <c r="AA103" s="8" t="s">
        <v>171</v>
      </c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</row>
    <row r="104">
      <c r="C104" s="62" t="s">
        <v>116</v>
      </c>
      <c r="D104" s="8" t="s">
        <v>151</v>
      </c>
      <c r="E104" s="62" t="s">
        <v>118</v>
      </c>
      <c r="F104" s="62"/>
      <c r="G104" s="71">
        <f t="shared" si="65"/>
        <v>0.4175</v>
      </c>
      <c r="H104" s="71">
        <f t="shared" si="66"/>
        <v>0.4515</v>
      </c>
      <c r="I104" s="71">
        <f t="shared" si="67"/>
        <v>0.4661</v>
      </c>
      <c r="J104" s="71">
        <f t="shared" si="68"/>
        <v>0.4698</v>
      </c>
      <c r="K104" s="71">
        <f t="shared" ref="K104:L104" si="89">K95-0.0477</f>
        <v>0.4722</v>
      </c>
      <c r="L104" s="71">
        <f t="shared" si="89"/>
        <v>0.4772</v>
      </c>
      <c r="M104" s="71">
        <f t="shared" si="70"/>
        <v>0.4721</v>
      </c>
      <c r="N104" s="71">
        <f t="shared" si="71"/>
        <v>0.4731</v>
      </c>
      <c r="O104" s="71">
        <f t="shared" si="72"/>
        <v>0.4738</v>
      </c>
      <c r="P104" s="71">
        <f t="shared" si="73"/>
        <v>0.4733</v>
      </c>
      <c r="Q104" s="71">
        <f t="shared" si="74"/>
        <v>0.4716</v>
      </c>
      <c r="R104" s="71">
        <f t="shared" si="75"/>
        <v>0.4732</v>
      </c>
      <c r="S104" s="71">
        <f t="shared" si="76"/>
        <v>0.4725</v>
      </c>
      <c r="T104" s="71">
        <f t="shared" si="77"/>
        <v>0.4714</v>
      </c>
      <c r="U104" s="71">
        <f t="shared" si="78"/>
        <v>0.4694</v>
      </c>
      <c r="V104" s="71">
        <f t="shared" si="79"/>
        <v>0.467</v>
      </c>
      <c r="W104" s="71">
        <f t="shared" si="80"/>
        <v>0.4658</v>
      </c>
      <c r="X104" s="71">
        <f t="shared" si="81"/>
        <v>0.465</v>
      </c>
      <c r="Y104" s="71">
        <f t="shared" si="82"/>
        <v>0.4629</v>
      </c>
      <c r="Z104" s="71">
        <f t="shared" si="83"/>
        <v>0.4617</v>
      </c>
      <c r="AA104" s="8" t="s">
        <v>172</v>
      </c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</row>
    <row r="105">
      <c r="A105" s="61"/>
      <c r="B105" s="61"/>
      <c r="C105" s="62"/>
      <c r="D105" s="8"/>
      <c r="E105" s="62"/>
      <c r="F105" s="62"/>
      <c r="G105" s="76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</row>
    <row r="106">
      <c r="A106" s="77" t="s">
        <v>138</v>
      </c>
      <c r="C106" s="8" t="s">
        <v>109</v>
      </c>
      <c r="D106" s="8" t="s">
        <v>122</v>
      </c>
      <c r="E106" s="8" t="s">
        <v>118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</row>
    <row r="107">
      <c r="C107" s="8" t="s">
        <v>116</v>
      </c>
      <c r="D107" s="8" t="s">
        <v>122</v>
      </c>
      <c r="E107" s="8" t="s">
        <v>118</v>
      </c>
      <c r="F107" s="55" t="s">
        <v>139</v>
      </c>
      <c r="G107" s="66">
        <f>88/60</f>
        <v>1.466666667</v>
      </c>
      <c r="H107" s="66">
        <f t="shared" ref="H107:Z107" si="90">G107+0.5</f>
        <v>1.966666667</v>
      </c>
      <c r="I107" s="66">
        <f t="shared" si="90"/>
        <v>2.466666667</v>
      </c>
      <c r="J107" s="66">
        <f t="shared" si="90"/>
        <v>2.966666667</v>
      </c>
      <c r="K107" s="66">
        <f t="shared" si="90"/>
        <v>3.466666667</v>
      </c>
      <c r="L107" s="66">
        <f t="shared" si="90"/>
        <v>3.966666667</v>
      </c>
      <c r="M107" s="66">
        <f t="shared" si="90"/>
        <v>4.466666667</v>
      </c>
      <c r="N107" s="66">
        <f t="shared" si="90"/>
        <v>4.966666667</v>
      </c>
      <c r="O107" s="66">
        <f t="shared" si="90"/>
        <v>5.466666667</v>
      </c>
      <c r="P107" s="66">
        <f t="shared" si="90"/>
        <v>5.966666667</v>
      </c>
      <c r="Q107" s="66">
        <f t="shared" si="90"/>
        <v>6.466666667</v>
      </c>
      <c r="R107" s="66">
        <f t="shared" si="90"/>
        <v>6.966666667</v>
      </c>
      <c r="S107" s="66">
        <f t="shared" si="90"/>
        <v>7.466666667</v>
      </c>
      <c r="T107" s="66">
        <f t="shared" si="90"/>
        <v>7.966666667</v>
      </c>
      <c r="U107" s="66">
        <f t="shared" si="90"/>
        <v>8.466666667</v>
      </c>
      <c r="V107" s="66">
        <f t="shared" si="90"/>
        <v>8.966666667</v>
      </c>
      <c r="W107" s="66">
        <f t="shared" si="90"/>
        <v>9.466666667</v>
      </c>
      <c r="X107" s="66">
        <f t="shared" si="90"/>
        <v>9.966666667</v>
      </c>
      <c r="Y107" s="66">
        <f t="shared" si="90"/>
        <v>10.46666667</v>
      </c>
      <c r="Z107" s="66">
        <f t="shared" si="90"/>
        <v>10.96666667</v>
      </c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</row>
    <row r="108">
      <c r="C108" s="8" t="s">
        <v>116</v>
      </c>
      <c r="D108" s="8" t="s">
        <v>124</v>
      </c>
      <c r="E108" s="8" t="s">
        <v>118</v>
      </c>
      <c r="F108" s="55" t="s">
        <v>139</v>
      </c>
      <c r="G108" s="66">
        <f>85/60</f>
        <v>1.416666667</v>
      </c>
      <c r="H108" s="66">
        <f t="shared" ref="H108:Z108" si="91">G108+0.5</f>
        <v>1.916666667</v>
      </c>
      <c r="I108" s="66">
        <f t="shared" si="91"/>
        <v>2.416666667</v>
      </c>
      <c r="J108" s="66">
        <f t="shared" si="91"/>
        <v>2.916666667</v>
      </c>
      <c r="K108" s="66">
        <f t="shared" si="91"/>
        <v>3.416666667</v>
      </c>
      <c r="L108" s="66">
        <f t="shared" si="91"/>
        <v>3.916666667</v>
      </c>
      <c r="M108" s="66">
        <f t="shared" si="91"/>
        <v>4.416666667</v>
      </c>
      <c r="N108" s="66">
        <f t="shared" si="91"/>
        <v>4.916666667</v>
      </c>
      <c r="O108" s="66">
        <f t="shared" si="91"/>
        <v>5.416666667</v>
      </c>
      <c r="P108" s="66">
        <f t="shared" si="91"/>
        <v>5.916666667</v>
      </c>
      <c r="Q108" s="66">
        <f t="shared" si="91"/>
        <v>6.416666667</v>
      </c>
      <c r="R108" s="66">
        <f t="shared" si="91"/>
        <v>6.916666667</v>
      </c>
      <c r="S108" s="66">
        <f t="shared" si="91"/>
        <v>7.416666667</v>
      </c>
      <c r="T108" s="66">
        <f t="shared" si="91"/>
        <v>7.916666667</v>
      </c>
      <c r="U108" s="66">
        <f t="shared" si="91"/>
        <v>8.416666667</v>
      </c>
      <c r="V108" s="66">
        <f t="shared" si="91"/>
        <v>8.916666667</v>
      </c>
      <c r="W108" s="66">
        <f t="shared" si="91"/>
        <v>9.416666667</v>
      </c>
      <c r="X108" s="66">
        <f t="shared" si="91"/>
        <v>9.916666667</v>
      </c>
      <c r="Y108" s="66">
        <f t="shared" si="91"/>
        <v>10.41666667</v>
      </c>
      <c r="Z108" s="66">
        <f t="shared" si="91"/>
        <v>10.91666667</v>
      </c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</row>
    <row r="109">
      <c r="C109" s="8" t="s">
        <v>116</v>
      </c>
      <c r="D109" s="8" t="s">
        <v>126</v>
      </c>
      <c r="E109" s="8" t="s">
        <v>118</v>
      </c>
      <c r="F109" s="55" t="s">
        <v>139</v>
      </c>
      <c r="G109" s="66">
        <f>82/60</f>
        <v>1.366666667</v>
      </c>
      <c r="H109" s="66">
        <f t="shared" ref="H109:Z109" si="92">G109+0.5</f>
        <v>1.866666667</v>
      </c>
      <c r="I109" s="66">
        <f t="shared" si="92"/>
        <v>2.366666667</v>
      </c>
      <c r="J109" s="66">
        <f t="shared" si="92"/>
        <v>2.866666667</v>
      </c>
      <c r="K109" s="66">
        <f t="shared" si="92"/>
        <v>3.366666667</v>
      </c>
      <c r="L109" s="66">
        <f t="shared" si="92"/>
        <v>3.866666667</v>
      </c>
      <c r="M109" s="66">
        <f t="shared" si="92"/>
        <v>4.366666667</v>
      </c>
      <c r="N109" s="66">
        <f t="shared" si="92"/>
        <v>4.866666667</v>
      </c>
      <c r="O109" s="66">
        <f t="shared" si="92"/>
        <v>5.366666667</v>
      </c>
      <c r="P109" s="66">
        <f t="shared" si="92"/>
        <v>5.866666667</v>
      </c>
      <c r="Q109" s="66">
        <f t="shared" si="92"/>
        <v>6.366666667</v>
      </c>
      <c r="R109" s="66">
        <f t="shared" si="92"/>
        <v>6.866666667</v>
      </c>
      <c r="S109" s="66">
        <f t="shared" si="92"/>
        <v>7.366666667</v>
      </c>
      <c r="T109" s="66">
        <f t="shared" si="92"/>
        <v>7.866666667</v>
      </c>
      <c r="U109" s="66">
        <f t="shared" si="92"/>
        <v>8.366666667</v>
      </c>
      <c r="V109" s="66">
        <f t="shared" si="92"/>
        <v>8.866666667</v>
      </c>
      <c r="W109" s="66">
        <f t="shared" si="92"/>
        <v>9.366666667</v>
      </c>
      <c r="X109" s="66">
        <f t="shared" si="92"/>
        <v>9.866666667</v>
      </c>
      <c r="Y109" s="66">
        <f t="shared" si="92"/>
        <v>10.36666667</v>
      </c>
      <c r="Z109" s="66">
        <f t="shared" si="92"/>
        <v>10.86666667</v>
      </c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</row>
    <row r="110">
      <c r="C110" s="8" t="s">
        <v>116</v>
      </c>
      <c r="D110" s="8" t="s">
        <v>128</v>
      </c>
      <c r="E110" s="8" t="s">
        <v>118</v>
      </c>
      <c r="F110" s="55" t="s">
        <v>139</v>
      </c>
      <c r="G110" s="66">
        <f>89/60</f>
        <v>1.483333333</v>
      </c>
      <c r="H110" s="66">
        <f t="shared" ref="H110:Z110" si="93">G110+0.5</f>
        <v>1.983333333</v>
      </c>
      <c r="I110" s="66">
        <f t="shared" si="93"/>
        <v>2.483333333</v>
      </c>
      <c r="J110" s="66">
        <f t="shared" si="93"/>
        <v>2.983333333</v>
      </c>
      <c r="K110" s="66">
        <f t="shared" si="93"/>
        <v>3.483333333</v>
      </c>
      <c r="L110" s="66">
        <f t="shared" si="93"/>
        <v>3.983333333</v>
      </c>
      <c r="M110" s="66">
        <f t="shared" si="93"/>
        <v>4.483333333</v>
      </c>
      <c r="N110" s="66">
        <f t="shared" si="93"/>
        <v>4.983333333</v>
      </c>
      <c r="O110" s="66">
        <f t="shared" si="93"/>
        <v>5.483333333</v>
      </c>
      <c r="P110" s="66">
        <f t="shared" si="93"/>
        <v>5.983333333</v>
      </c>
      <c r="Q110" s="66">
        <f t="shared" si="93"/>
        <v>6.483333333</v>
      </c>
      <c r="R110" s="66">
        <f t="shared" si="93"/>
        <v>6.983333333</v>
      </c>
      <c r="S110" s="66">
        <f t="shared" si="93"/>
        <v>7.483333333</v>
      </c>
      <c r="T110" s="66">
        <f t="shared" si="93"/>
        <v>7.983333333</v>
      </c>
      <c r="U110" s="66">
        <f t="shared" si="93"/>
        <v>8.483333333</v>
      </c>
      <c r="V110" s="66">
        <f t="shared" si="93"/>
        <v>8.983333333</v>
      </c>
      <c r="W110" s="66">
        <f t="shared" si="93"/>
        <v>9.483333333</v>
      </c>
      <c r="X110" s="66">
        <f t="shared" si="93"/>
        <v>9.983333333</v>
      </c>
      <c r="Y110" s="66">
        <f t="shared" si="93"/>
        <v>10.48333333</v>
      </c>
      <c r="Z110" s="66">
        <f t="shared" si="93"/>
        <v>10.98333333</v>
      </c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</row>
    <row r="111">
      <c r="C111" s="8" t="s">
        <v>116</v>
      </c>
      <c r="D111" s="8" t="s">
        <v>130</v>
      </c>
      <c r="E111" s="8" t="s">
        <v>118</v>
      </c>
      <c r="F111" s="55" t="s">
        <v>139</v>
      </c>
      <c r="G111" s="66">
        <f>86/60</f>
        <v>1.433333333</v>
      </c>
      <c r="H111" s="66">
        <f t="shared" ref="H111:Z111" si="94">G111+0.5</f>
        <v>1.933333333</v>
      </c>
      <c r="I111" s="66">
        <f t="shared" si="94"/>
        <v>2.433333333</v>
      </c>
      <c r="J111" s="66">
        <f t="shared" si="94"/>
        <v>2.933333333</v>
      </c>
      <c r="K111" s="66">
        <f t="shared" si="94"/>
        <v>3.433333333</v>
      </c>
      <c r="L111" s="66">
        <f t="shared" si="94"/>
        <v>3.933333333</v>
      </c>
      <c r="M111" s="66">
        <f t="shared" si="94"/>
        <v>4.433333333</v>
      </c>
      <c r="N111" s="66">
        <f t="shared" si="94"/>
        <v>4.933333333</v>
      </c>
      <c r="O111" s="66">
        <f t="shared" si="94"/>
        <v>5.433333333</v>
      </c>
      <c r="P111" s="66">
        <f t="shared" si="94"/>
        <v>5.933333333</v>
      </c>
      <c r="Q111" s="66">
        <f t="shared" si="94"/>
        <v>6.433333333</v>
      </c>
      <c r="R111" s="66">
        <f t="shared" si="94"/>
        <v>6.933333333</v>
      </c>
      <c r="S111" s="66">
        <f t="shared" si="94"/>
        <v>7.433333333</v>
      </c>
      <c r="T111" s="66">
        <f t="shared" si="94"/>
        <v>7.933333333</v>
      </c>
      <c r="U111" s="66">
        <f t="shared" si="94"/>
        <v>8.433333333</v>
      </c>
      <c r="V111" s="66">
        <f t="shared" si="94"/>
        <v>8.933333333</v>
      </c>
      <c r="W111" s="66">
        <f t="shared" si="94"/>
        <v>9.433333333</v>
      </c>
      <c r="X111" s="66">
        <f t="shared" si="94"/>
        <v>9.933333333</v>
      </c>
      <c r="Y111" s="66">
        <f t="shared" si="94"/>
        <v>10.43333333</v>
      </c>
      <c r="Z111" s="66">
        <f t="shared" si="94"/>
        <v>10.93333333</v>
      </c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</row>
    <row r="112">
      <c r="C112" s="8" t="s">
        <v>116</v>
      </c>
      <c r="D112" s="8" t="s">
        <v>153</v>
      </c>
      <c r="E112" s="8" t="s">
        <v>118</v>
      </c>
      <c r="F112" s="55" t="s">
        <v>139</v>
      </c>
      <c r="G112" s="66">
        <f>83/60</f>
        <v>1.383333333</v>
      </c>
      <c r="H112" s="66">
        <f t="shared" ref="H112:Z112" si="95">G112+0.5</f>
        <v>1.883333333</v>
      </c>
      <c r="I112" s="66">
        <f t="shared" si="95"/>
        <v>2.383333333</v>
      </c>
      <c r="J112" s="66">
        <f t="shared" si="95"/>
        <v>2.883333333</v>
      </c>
      <c r="K112" s="66">
        <f t="shared" si="95"/>
        <v>3.383333333</v>
      </c>
      <c r="L112" s="66">
        <f t="shared" si="95"/>
        <v>3.883333333</v>
      </c>
      <c r="M112" s="66">
        <f t="shared" si="95"/>
        <v>4.383333333</v>
      </c>
      <c r="N112" s="66">
        <f t="shared" si="95"/>
        <v>4.883333333</v>
      </c>
      <c r="O112" s="66">
        <f t="shared" si="95"/>
        <v>5.383333333</v>
      </c>
      <c r="P112" s="66">
        <f t="shared" si="95"/>
        <v>5.883333333</v>
      </c>
      <c r="Q112" s="66">
        <f t="shared" si="95"/>
        <v>6.383333333</v>
      </c>
      <c r="R112" s="66">
        <f t="shared" si="95"/>
        <v>6.883333333</v>
      </c>
      <c r="S112" s="66">
        <f t="shared" si="95"/>
        <v>7.383333333</v>
      </c>
      <c r="T112" s="66">
        <f t="shared" si="95"/>
        <v>7.883333333</v>
      </c>
      <c r="U112" s="66">
        <f t="shared" si="95"/>
        <v>8.383333333</v>
      </c>
      <c r="V112" s="66">
        <f t="shared" si="95"/>
        <v>8.883333333</v>
      </c>
      <c r="W112" s="66">
        <f t="shared" si="95"/>
        <v>9.383333333</v>
      </c>
      <c r="X112" s="66">
        <f t="shared" si="95"/>
        <v>9.883333333</v>
      </c>
      <c r="Y112" s="66">
        <f t="shared" si="95"/>
        <v>10.38333333</v>
      </c>
      <c r="Z112" s="66">
        <f t="shared" si="95"/>
        <v>10.88333333</v>
      </c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</row>
    <row r="113">
      <c r="C113" s="8" t="s">
        <v>116</v>
      </c>
      <c r="D113" s="8" t="s">
        <v>151</v>
      </c>
      <c r="E113" s="8" t="s">
        <v>118</v>
      </c>
      <c r="F113" s="55" t="s">
        <v>139</v>
      </c>
      <c r="G113" s="66">
        <f>80/60</f>
        <v>1.333333333</v>
      </c>
      <c r="H113" s="66">
        <f t="shared" ref="H113:Z113" si="96">G113+0.5</f>
        <v>1.833333333</v>
      </c>
      <c r="I113" s="66">
        <f t="shared" si="96"/>
        <v>2.333333333</v>
      </c>
      <c r="J113" s="66">
        <f t="shared" si="96"/>
        <v>2.833333333</v>
      </c>
      <c r="K113" s="66">
        <f t="shared" si="96"/>
        <v>3.333333333</v>
      </c>
      <c r="L113" s="66">
        <f t="shared" si="96"/>
        <v>3.833333333</v>
      </c>
      <c r="M113" s="66">
        <f t="shared" si="96"/>
        <v>4.333333333</v>
      </c>
      <c r="N113" s="66">
        <f t="shared" si="96"/>
        <v>4.833333333</v>
      </c>
      <c r="O113" s="66">
        <f t="shared" si="96"/>
        <v>5.333333333</v>
      </c>
      <c r="P113" s="66">
        <f t="shared" si="96"/>
        <v>5.833333333</v>
      </c>
      <c r="Q113" s="66">
        <f t="shared" si="96"/>
        <v>6.333333333</v>
      </c>
      <c r="R113" s="66">
        <f t="shared" si="96"/>
        <v>6.833333333</v>
      </c>
      <c r="S113" s="66">
        <f t="shared" si="96"/>
        <v>7.333333333</v>
      </c>
      <c r="T113" s="66">
        <f t="shared" si="96"/>
        <v>7.833333333</v>
      </c>
      <c r="U113" s="66">
        <f t="shared" si="96"/>
        <v>8.333333333</v>
      </c>
      <c r="V113" s="66">
        <f t="shared" si="96"/>
        <v>8.833333333</v>
      </c>
      <c r="W113" s="66">
        <f t="shared" si="96"/>
        <v>9.333333333</v>
      </c>
      <c r="X113" s="66">
        <f t="shared" si="96"/>
        <v>9.833333333</v>
      </c>
      <c r="Y113" s="66">
        <f t="shared" si="96"/>
        <v>10.33333333</v>
      </c>
      <c r="Z113" s="66">
        <f t="shared" si="96"/>
        <v>10.83333333</v>
      </c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</row>
    <row r="114">
      <c r="A114" s="8"/>
      <c r="B114" s="65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</row>
    <row r="115">
      <c r="A115" s="8"/>
      <c r="B115" s="8" t="s">
        <v>88</v>
      </c>
      <c r="C115" s="8" t="s">
        <v>140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</row>
    <row r="116">
      <c r="A116" s="67" t="s">
        <v>141</v>
      </c>
      <c r="B116" s="8" t="s">
        <v>122</v>
      </c>
      <c r="C116" s="68">
        <f t="shared" ref="C116:C122" si="97">G98/(G107*60)</f>
        <v>0.0082875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</row>
    <row r="117">
      <c r="A117" s="8"/>
      <c r="B117" s="8" t="s">
        <v>124</v>
      </c>
      <c r="C117" s="68">
        <f t="shared" si="97"/>
        <v>0.007649411765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</row>
    <row r="118">
      <c r="A118" s="8"/>
      <c r="B118" s="8" t="s">
        <v>126</v>
      </c>
      <c r="C118" s="68">
        <f t="shared" si="97"/>
        <v>0.0067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</row>
    <row r="119">
      <c r="A119" s="8"/>
      <c r="B119" s="8" t="s">
        <v>128</v>
      </c>
      <c r="C119" s="68">
        <f t="shared" si="97"/>
        <v>0.004307865169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</row>
    <row r="120">
      <c r="A120" s="8"/>
      <c r="B120" s="8" t="s">
        <v>130</v>
      </c>
      <c r="C120" s="68">
        <f t="shared" si="97"/>
        <v>0.002553488372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</row>
    <row r="121">
      <c r="A121" s="8"/>
      <c r="B121" s="8" t="s">
        <v>153</v>
      </c>
      <c r="C121" s="68">
        <f t="shared" si="97"/>
        <v>0.006239759036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</row>
    <row r="122">
      <c r="A122" s="8"/>
      <c r="B122" s="8" t="s">
        <v>151</v>
      </c>
      <c r="C122" s="68">
        <f t="shared" si="97"/>
        <v>0.00521875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</row>
    <row r="123">
      <c r="A123" s="8"/>
      <c r="B123" s="65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</row>
    <row r="124">
      <c r="A124" s="8"/>
      <c r="B124" s="65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</row>
    <row r="125">
      <c r="A125" s="8"/>
      <c r="B125" s="65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</row>
    <row r="126">
      <c r="A126" s="8"/>
      <c r="B126" s="65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</row>
    <row r="127">
      <c r="A127" s="59"/>
      <c r="B127" s="60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</row>
    <row r="128">
      <c r="A128" s="8"/>
      <c r="B128" s="65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</row>
    <row r="129">
      <c r="A129" s="50" t="s">
        <v>163</v>
      </c>
      <c r="C129" s="8" t="s">
        <v>113</v>
      </c>
      <c r="D129" s="8" t="s">
        <v>113</v>
      </c>
      <c r="E129" s="8"/>
      <c r="F129" s="8"/>
      <c r="G129" s="9">
        <v>0.0474</v>
      </c>
      <c r="H129" s="9">
        <v>0.0472</v>
      </c>
      <c r="I129" s="9">
        <v>0.0473</v>
      </c>
      <c r="J129" s="9">
        <v>0.0474</v>
      </c>
      <c r="K129" s="9">
        <v>0.0477</v>
      </c>
      <c r="L129" s="9">
        <v>0.0477</v>
      </c>
      <c r="M129" s="9">
        <v>0.0485</v>
      </c>
      <c r="N129" s="9">
        <v>0.0481</v>
      </c>
      <c r="O129" s="9">
        <v>0.0486</v>
      </c>
      <c r="P129" s="9">
        <v>0.0485</v>
      </c>
      <c r="Q129" s="9">
        <v>0.0489</v>
      </c>
      <c r="R129" s="9">
        <v>0.0487</v>
      </c>
      <c r="S129" s="9">
        <v>0.0492</v>
      </c>
      <c r="T129" s="9">
        <v>0.0495</v>
      </c>
      <c r="U129" s="9">
        <v>0.0494</v>
      </c>
      <c r="V129" s="9">
        <v>0.0496</v>
      </c>
      <c r="W129" s="9">
        <v>0.0501</v>
      </c>
      <c r="X129" s="9">
        <v>0.05</v>
      </c>
      <c r="Y129" s="9">
        <v>0.0502</v>
      </c>
      <c r="Z129" s="9">
        <v>0.0503</v>
      </c>
      <c r="AA129" s="8" t="s">
        <v>173</v>
      </c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</row>
    <row r="130">
      <c r="C130" s="8" t="s">
        <v>109</v>
      </c>
      <c r="D130" s="8" t="s">
        <v>122</v>
      </c>
      <c r="E130" s="8" t="s">
        <v>118</v>
      </c>
      <c r="F130" s="8"/>
      <c r="G130" s="9">
        <v>0.0506</v>
      </c>
      <c r="H130" s="9">
        <v>0.0507</v>
      </c>
      <c r="I130" s="9">
        <v>0.0508</v>
      </c>
      <c r="J130" s="9">
        <v>0.0508</v>
      </c>
      <c r="K130" s="9">
        <v>0.0513</v>
      </c>
      <c r="L130" s="9">
        <v>0.0511</v>
      </c>
      <c r="M130" s="9">
        <v>0.0514</v>
      </c>
      <c r="N130" s="9">
        <v>0.0513</v>
      </c>
      <c r="O130" s="9">
        <v>0.0517</v>
      </c>
      <c r="P130" s="9">
        <v>0.0516</v>
      </c>
      <c r="Q130" s="9">
        <v>0.0521</v>
      </c>
      <c r="R130" s="9">
        <v>0.0525</v>
      </c>
      <c r="S130" s="9">
        <v>0.0523</v>
      </c>
      <c r="T130" s="9">
        <v>0.0524</v>
      </c>
      <c r="U130" s="9">
        <v>0.053</v>
      </c>
      <c r="V130" s="9">
        <v>0.053</v>
      </c>
      <c r="W130" s="9">
        <v>0.0532</v>
      </c>
      <c r="X130" s="9">
        <v>0.0531</v>
      </c>
      <c r="Y130" s="9">
        <v>0.0536</v>
      </c>
      <c r="Z130" s="9">
        <v>0.0536</v>
      </c>
      <c r="AA130" s="8" t="s">
        <v>174</v>
      </c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</row>
    <row r="131">
      <c r="C131" s="8" t="s">
        <v>116</v>
      </c>
      <c r="D131" s="8" t="s">
        <v>122</v>
      </c>
      <c r="E131" s="8" t="s">
        <v>118</v>
      </c>
      <c r="F131" s="8"/>
      <c r="G131" s="9">
        <v>0.5103</v>
      </c>
      <c r="H131" s="9">
        <v>0.7029</v>
      </c>
      <c r="I131" s="9">
        <v>0.8875</v>
      </c>
      <c r="J131" s="9">
        <v>1.062</v>
      </c>
      <c r="K131" s="9">
        <v>1.2381</v>
      </c>
      <c r="L131" s="9">
        <v>1.4161</v>
      </c>
      <c r="M131" s="9">
        <v>1.5932</v>
      </c>
      <c r="N131" s="9">
        <v>1.7584</v>
      </c>
      <c r="O131" s="9">
        <v>1.9072</v>
      </c>
      <c r="P131" s="9">
        <v>2.0285</v>
      </c>
      <c r="Q131" s="9">
        <v>2.1203</v>
      </c>
      <c r="R131" s="9">
        <v>2.1746</v>
      </c>
      <c r="S131" s="9">
        <v>2.1958</v>
      </c>
      <c r="T131" s="9">
        <v>2.2046</v>
      </c>
      <c r="U131" s="9">
        <v>2.2061</v>
      </c>
      <c r="V131" s="9">
        <v>2.202</v>
      </c>
      <c r="W131" s="9">
        <v>2.1995</v>
      </c>
      <c r="X131" s="9">
        <v>2.1921</v>
      </c>
      <c r="Y131" s="9">
        <v>2.1795</v>
      </c>
      <c r="Z131" s="9">
        <v>2.1707</v>
      </c>
      <c r="AA131" s="8" t="s">
        <v>175</v>
      </c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</row>
    <row r="132">
      <c r="C132" s="8" t="s">
        <v>116</v>
      </c>
      <c r="D132" s="8" t="s">
        <v>124</v>
      </c>
      <c r="E132" s="8" t="s">
        <v>118</v>
      </c>
      <c r="F132" s="8"/>
      <c r="G132" s="9">
        <v>0.4873</v>
      </c>
      <c r="H132" s="9">
        <v>0.6487</v>
      </c>
      <c r="I132" s="9">
        <v>0.8501</v>
      </c>
      <c r="J132" s="9">
        <v>0.9939</v>
      </c>
      <c r="K132" s="9">
        <v>1.1652</v>
      </c>
      <c r="L132" s="9">
        <v>1.2852</v>
      </c>
      <c r="M132" s="9">
        <v>1.3952</v>
      </c>
      <c r="N132" s="9">
        <v>1.4363</v>
      </c>
      <c r="O132" s="9">
        <v>1.4745</v>
      </c>
      <c r="P132" s="9">
        <v>1.4833</v>
      </c>
      <c r="Q132" s="9">
        <v>1.4828</v>
      </c>
      <c r="R132" s="9">
        <v>1.4801</v>
      </c>
      <c r="S132" s="9">
        <v>1.4774</v>
      </c>
      <c r="T132" s="9">
        <v>1.4752</v>
      </c>
      <c r="U132" s="9">
        <v>1.4599</v>
      </c>
      <c r="V132" s="9">
        <v>1.4626</v>
      </c>
      <c r="W132" s="9">
        <v>1.4569</v>
      </c>
      <c r="X132" s="9">
        <v>1.4499</v>
      </c>
      <c r="Y132" s="9">
        <v>1.4412</v>
      </c>
      <c r="Z132" s="9">
        <v>1.4409</v>
      </c>
      <c r="AA132" s="8" t="s">
        <v>176</v>
      </c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</row>
    <row r="133">
      <c r="C133" s="8" t="s">
        <v>116</v>
      </c>
      <c r="D133" s="8" t="s">
        <v>126</v>
      </c>
      <c r="E133" s="8" t="s">
        <v>118</v>
      </c>
      <c r="F133" s="8"/>
      <c r="G133" s="9">
        <v>0.433</v>
      </c>
      <c r="H133" s="9">
        <v>0.5697</v>
      </c>
      <c r="I133" s="9">
        <v>0.6445</v>
      </c>
      <c r="J133" s="9">
        <v>0.7335</v>
      </c>
      <c r="K133" s="9">
        <v>0.7954</v>
      </c>
      <c r="L133" s="9">
        <v>0.8302</v>
      </c>
      <c r="M133" s="9">
        <v>0.8422</v>
      </c>
      <c r="N133" s="9">
        <v>0.8392</v>
      </c>
      <c r="O133" s="9">
        <v>0.849</v>
      </c>
      <c r="P133" s="9">
        <v>0.8411</v>
      </c>
      <c r="Q133" s="9">
        <v>0.8424</v>
      </c>
      <c r="R133" s="9">
        <v>0.8384</v>
      </c>
      <c r="S133" s="9">
        <v>0.837</v>
      </c>
      <c r="T133" s="9">
        <v>0.84</v>
      </c>
      <c r="U133" s="9">
        <v>0.8411</v>
      </c>
      <c r="V133" s="9">
        <v>0.8351</v>
      </c>
      <c r="W133" s="9">
        <v>0.8345</v>
      </c>
      <c r="X133" s="9">
        <v>0.8489</v>
      </c>
      <c r="Y133" s="9">
        <v>0.8442</v>
      </c>
      <c r="Z133" s="9">
        <v>0.8411</v>
      </c>
      <c r="AA133" s="8" t="s">
        <v>177</v>
      </c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</row>
    <row r="134">
      <c r="C134" s="8" t="s">
        <v>116</v>
      </c>
      <c r="D134" s="8" t="s">
        <v>128</v>
      </c>
      <c r="E134" s="8" t="s">
        <v>118</v>
      </c>
      <c r="F134" s="8"/>
      <c r="G134" s="9">
        <v>0.1969</v>
      </c>
      <c r="H134" s="9">
        <v>0.2805</v>
      </c>
      <c r="I134" s="9">
        <v>0.3429</v>
      </c>
      <c r="J134" s="9">
        <v>0.4184</v>
      </c>
      <c r="K134" s="9">
        <v>0.5555</v>
      </c>
      <c r="L134" s="9">
        <v>0.5752</v>
      </c>
      <c r="M134" s="9">
        <v>0.5553</v>
      </c>
      <c r="N134" s="9">
        <v>0.5864</v>
      </c>
      <c r="O134" s="9">
        <v>0.571</v>
      </c>
      <c r="P134" s="9">
        <v>0.5722</v>
      </c>
      <c r="Q134" s="9">
        <v>0.5292</v>
      </c>
      <c r="R134" s="9">
        <v>0.5625</v>
      </c>
      <c r="S134" s="9">
        <v>0.5511</v>
      </c>
      <c r="T134" s="9">
        <v>0.5267</v>
      </c>
      <c r="U134" s="9">
        <v>0.5363</v>
      </c>
      <c r="V134" s="9">
        <v>0.5151</v>
      </c>
      <c r="W134" s="9">
        <v>0.5196</v>
      </c>
      <c r="X134" s="9">
        <v>0.5256</v>
      </c>
      <c r="Y134" s="9">
        <v>0.5214</v>
      </c>
      <c r="Z134" s="9">
        <v>0.5227</v>
      </c>
      <c r="AA134" s="8" t="s">
        <v>178</v>
      </c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</row>
    <row r="135">
      <c r="C135" s="8" t="s">
        <v>116</v>
      </c>
      <c r="D135" s="8" t="s">
        <v>130</v>
      </c>
      <c r="E135" s="8" t="s">
        <v>118</v>
      </c>
      <c r="F135" s="8"/>
      <c r="G135" s="9">
        <v>0.1476</v>
      </c>
      <c r="H135" s="9">
        <v>0.2006</v>
      </c>
      <c r="I135" s="9">
        <v>0.2587</v>
      </c>
      <c r="J135" s="9">
        <v>0.2842</v>
      </c>
      <c r="K135" s="9">
        <v>0.3386</v>
      </c>
      <c r="L135" s="9">
        <v>0.3878</v>
      </c>
      <c r="M135" s="9">
        <v>0.3613</v>
      </c>
      <c r="N135" s="9">
        <v>0.3711</v>
      </c>
      <c r="O135" s="9">
        <v>0.3783</v>
      </c>
      <c r="P135" s="9">
        <v>0.3563</v>
      </c>
      <c r="Q135" s="9">
        <v>0.3115</v>
      </c>
      <c r="R135" s="9">
        <v>0.2963</v>
      </c>
      <c r="S135" s="9">
        <v>0.3304</v>
      </c>
      <c r="T135" s="9">
        <v>0.2994</v>
      </c>
      <c r="U135" s="9">
        <v>0.2935</v>
      </c>
      <c r="V135" s="9">
        <v>0.3119</v>
      </c>
      <c r="W135" s="9">
        <v>0.3265</v>
      </c>
      <c r="X135" s="9">
        <v>0.3022</v>
      </c>
      <c r="Y135" s="9">
        <v>0.3211</v>
      </c>
      <c r="Z135" s="9">
        <v>0.2984</v>
      </c>
      <c r="AA135" s="8" t="s">
        <v>179</v>
      </c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</row>
    <row r="136">
      <c r="C136" s="8" t="s">
        <v>116</v>
      </c>
      <c r="D136" s="8" t="s">
        <v>153</v>
      </c>
      <c r="E136" s="8" t="s">
        <v>118</v>
      </c>
      <c r="F136" s="8"/>
      <c r="G136" s="9">
        <v>0.1733</v>
      </c>
      <c r="H136" s="9">
        <v>0.2638</v>
      </c>
      <c r="I136" s="9">
        <v>0.3578</v>
      </c>
      <c r="J136" s="9">
        <v>0.4521</v>
      </c>
      <c r="K136" s="9">
        <v>0.5413</v>
      </c>
      <c r="L136" s="9">
        <v>0.5972</v>
      </c>
      <c r="M136" s="9">
        <v>0.6596</v>
      </c>
      <c r="N136" s="9">
        <v>0.6974</v>
      </c>
      <c r="O136" s="9">
        <v>0.6991</v>
      </c>
      <c r="P136" s="9">
        <v>0.6939</v>
      </c>
      <c r="Q136" s="9">
        <v>0.66</v>
      </c>
      <c r="R136" s="9">
        <v>0.6582</v>
      </c>
      <c r="S136" s="9">
        <v>0.6823</v>
      </c>
      <c r="T136" s="9">
        <v>0.6813</v>
      </c>
      <c r="U136" s="9">
        <v>0.6754</v>
      </c>
      <c r="V136" s="9">
        <v>0.6703</v>
      </c>
      <c r="W136" s="9">
        <v>0.6582</v>
      </c>
      <c r="X136" s="9">
        <v>0.6742</v>
      </c>
      <c r="Y136" s="9">
        <v>0.652</v>
      </c>
      <c r="Z136" s="9">
        <v>0.6749</v>
      </c>
      <c r="AA136" s="8" t="s">
        <v>180</v>
      </c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</row>
    <row r="137">
      <c r="C137" s="8" t="s">
        <v>116</v>
      </c>
      <c r="D137" s="8" t="s">
        <v>181</v>
      </c>
      <c r="E137" s="8" t="s">
        <v>118</v>
      </c>
      <c r="F137" s="8"/>
      <c r="G137" s="9">
        <v>0.1184</v>
      </c>
      <c r="H137" s="9">
        <v>0.1823</v>
      </c>
      <c r="I137" s="9">
        <v>0.2529</v>
      </c>
      <c r="J137" s="9">
        <v>0.3155</v>
      </c>
      <c r="K137" s="9">
        <v>0.417</v>
      </c>
      <c r="L137" s="9">
        <v>0.4591</v>
      </c>
      <c r="M137" s="9">
        <v>0.4789</v>
      </c>
      <c r="N137" s="9">
        <v>0.5357</v>
      </c>
      <c r="O137" s="9">
        <v>0.5364</v>
      </c>
      <c r="P137" s="9">
        <v>0.5616</v>
      </c>
      <c r="Q137" s="9">
        <v>0.5824</v>
      </c>
      <c r="R137" s="9">
        <v>0.5802</v>
      </c>
      <c r="S137" s="9">
        <v>0.5992</v>
      </c>
      <c r="T137" s="9">
        <v>0.6043</v>
      </c>
      <c r="U137" s="9">
        <v>0.5985</v>
      </c>
      <c r="V137" s="9">
        <v>0.5956</v>
      </c>
      <c r="W137" s="9">
        <v>0.6021</v>
      </c>
      <c r="X137" s="9">
        <v>0.6016</v>
      </c>
      <c r="Y137" s="9">
        <v>0.5958</v>
      </c>
      <c r="Z137" s="9">
        <v>0.5767</v>
      </c>
      <c r="AA137" s="8" t="s">
        <v>182</v>
      </c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</row>
    <row r="138">
      <c r="A138" s="8"/>
      <c r="B138" s="6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</row>
    <row r="139">
      <c r="A139" s="61" t="s">
        <v>135</v>
      </c>
      <c r="C139" s="62" t="s">
        <v>109</v>
      </c>
      <c r="D139" s="8" t="s">
        <v>122</v>
      </c>
      <c r="E139" s="62" t="s">
        <v>118</v>
      </c>
      <c r="F139" s="62"/>
      <c r="G139" s="71">
        <f t="shared" ref="G139:G146" si="99">G130-0.0474</f>
        <v>0.0032</v>
      </c>
      <c r="H139" s="71">
        <f t="shared" ref="H139:H146" si="100">H130-0.0472</f>
        <v>0.0035</v>
      </c>
      <c r="I139" s="71">
        <f t="shared" ref="I139:I146" si="101">I130-0.0473</f>
        <v>0.0035</v>
      </c>
      <c r="J139" s="71">
        <f t="shared" ref="J139:J146" si="102">J130-0.0474</f>
        <v>0.0034</v>
      </c>
      <c r="K139" s="71">
        <f t="shared" ref="K139:L139" si="98">K130-0.0477</f>
        <v>0.0036</v>
      </c>
      <c r="L139" s="71">
        <f t="shared" si="98"/>
        <v>0.0034</v>
      </c>
      <c r="M139" s="71">
        <f t="shared" ref="M139:M146" si="104">M130-0.0485</f>
        <v>0.0029</v>
      </c>
      <c r="N139" s="71">
        <f t="shared" ref="N139:N146" si="105">N130-0.0481</f>
        <v>0.0032</v>
      </c>
      <c r="O139" s="71">
        <f t="shared" ref="O139:O146" si="106">O130-0.0486</f>
        <v>0.0031</v>
      </c>
      <c r="P139" s="71">
        <f t="shared" ref="P139:P146" si="107">P130-0.0485</f>
        <v>0.0031</v>
      </c>
      <c r="Q139" s="71">
        <f t="shared" ref="Q139:Q146" si="108">Q130-0.0489</f>
        <v>0.0032</v>
      </c>
      <c r="R139" s="71">
        <f t="shared" ref="R139:R146" si="109">R130-0.0487</f>
        <v>0.0038</v>
      </c>
      <c r="S139" s="71">
        <f t="shared" ref="S139:S146" si="110">S130-0.0492</f>
        <v>0.0031</v>
      </c>
      <c r="T139" s="71">
        <f t="shared" ref="T139:T146" si="111">T130-0.0495</f>
        <v>0.0029</v>
      </c>
      <c r="U139" s="71">
        <f t="shared" ref="U139:U146" si="112">U130-0.0494</f>
        <v>0.0036</v>
      </c>
      <c r="V139" s="71">
        <f t="shared" ref="V139:V146" si="113">V130-0.0496</f>
        <v>0.0034</v>
      </c>
      <c r="W139" s="71">
        <f t="shared" ref="W139:W146" si="114">W130-0.0501</f>
        <v>0.0031</v>
      </c>
      <c r="X139" s="71">
        <f t="shared" ref="X139:X146" si="115">X130-0.05</f>
        <v>0.0031</v>
      </c>
      <c r="Y139" s="71">
        <f t="shared" ref="Y139:Y146" si="116">Y130-0.0502</f>
        <v>0.0034</v>
      </c>
      <c r="Z139" s="71">
        <f t="shared" ref="Z139:Z146" si="117">Z130-0.0503</f>
        <v>0.0033</v>
      </c>
      <c r="AA139" s="8" t="s">
        <v>174</v>
      </c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</row>
    <row r="140">
      <c r="C140" s="62" t="s">
        <v>116</v>
      </c>
      <c r="D140" s="8" t="s">
        <v>122</v>
      </c>
      <c r="E140" s="62" t="s">
        <v>118</v>
      </c>
      <c r="F140" s="62"/>
      <c r="G140" s="71">
        <f t="shared" si="99"/>
        <v>0.4629</v>
      </c>
      <c r="H140" s="71">
        <f t="shared" si="100"/>
        <v>0.6557</v>
      </c>
      <c r="I140" s="71">
        <f t="shared" si="101"/>
        <v>0.8402</v>
      </c>
      <c r="J140" s="71">
        <f t="shared" si="102"/>
        <v>1.0146</v>
      </c>
      <c r="K140" s="71">
        <f t="shared" ref="K140:L140" si="103">K131-0.0477</f>
        <v>1.1904</v>
      </c>
      <c r="L140" s="71">
        <f t="shared" si="103"/>
        <v>1.3684</v>
      </c>
      <c r="M140" s="71">
        <f t="shared" si="104"/>
        <v>1.5447</v>
      </c>
      <c r="N140" s="71">
        <f t="shared" si="105"/>
        <v>1.7103</v>
      </c>
      <c r="O140" s="71">
        <f t="shared" si="106"/>
        <v>1.8586</v>
      </c>
      <c r="P140" s="71">
        <f t="shared" si="107"/>
        <v>1.98</v>
      </c>
      <c r="Q140" s="71">
        <f t="shared" si="108"/>
        <v>2.0714</v>
      </c>
      <c r="R140" s="71">
        <f t="shared" si="109"/>
        <v>2.1259</v>
      </c>
      <c r="S140" s="71">
        <f t="shared" si="110"/>
        <v>2.1466</v>
      </c>
      <c r="T140" s="71">
        <f t="shared" si="111"/>
        <v>2.1551</v>
      </c>
      <c r="U140" s="71">
        <f t="shared" si="112"/>
        <v>2.1567</v>
      </c>
      <c r="V140" s="71">
        <f t="shared" si="113"/>
        <v>2.1524</v>
      </c>
      <c r="W140" s="71">
        <f t="shared" si="114"/>
        <v>2.1494</v>
      </c>
      <c r="X140" s="71">
        <f t="shared" si="115"/>
        <v>2.1421</v>
      </c>
      <c r="Y140" s="71">
        <f t="shared" si="116"/>
        <v>2.1293</v>
      </c>
      <c r="Z140" s="71">
        <f t="shared" si="117"/>
        <v>2.1204</v>
      </c>
      <c r="AA140" s="8" t="s">
        <v>175</v>
      </c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</row>
    <row r="141">
      <c r="C141" s="62" t="s">
        <v>116</v>
      </c>
      <c r="D141" s="8" t="s">
        <v>124</v>
      </c>
      <c r="E141" s="62" t="s">
        <v>118</v>
      </c>
      <c r="F141" s="62"/>
      <c r="G141" s="71">
        <f t="shared" si="99"/>
        <v>0.4399</v>
      </c>
      <c r="H141" s="71">
        <f t="shared" si="100"/>
        <v>0.6015</v>
      </c>
      <c r="I141" s="71">
        <f t="shared" si="101"/>
        <v>0.8028</v>
      </c>
      <c r="J141" s="71">
        <f t="shared" si="102"/>
        <v>0.9465</v>
      </c>
      <c r="K141" s="71">
        <f t="shared" ref="K141:L141" si="118">K132-0.0477</f>
        <v>1.1175</v>
      </c>
      <c r="L141" s="71">
        <f t="shared" si="118"/>
        <v>1.2375</v>
      </c>
      <c r="M141" s="71">
        <f t="shared" si="104"/>
        <v>1.3467</v>
      </c>
      <c r="N141" s="71">
        <f t="shared" si="105"/>
        <v>1.3882</v>
      </c>
      <c r="O141" s="71">
        <f t="shared" si="106"/>
        <v>1.4259</v>
      </c>
      <c r="P141" s="71">
        <f t="shared" si="107"/>
        <v>1.4348</v>
      </c>
      <c r="Q141" s="71">
        <f t="shared" si="108"/>
        <v>1.4339</v>
      </c>
      <c r="R141" s="71">
        <f t="shared" si="109"/>
        <v>1.4314</v>
      </c>
      <c r="S141" s="71">
        <f t="shared" si="110"/>
        <v>1.4282</v>
      </c>
      <c r="T141" s="71">
        <f t="shared" si="111"/>
        <v>1.4257</v>
      </c>
      <c r="U141" s="71">
        <f t="shared" si="112"/>
        <v>1.4105</v>
      </c>
      <c r="V141" s="71">
        <f t="shared" si="113"/>
        <v>1.413</v>
      </c>
      <c r="W141" s="71">
        <f t="shared" si="114"/>
        <v>1.4068</v>
      </c>
      <c r="X141" s="71">
        <f t="shared" si="115"/>
        <v>1.3999</v>
      </c>
      <c r="Y141" s="71">
        <f t="shared" si="116"/>
        <v>1.391</v>
      </c>
      <c r="Z141" s="71">
        <f t="shared" si="117"/>
        <v>1.3906</v>
      </c>
      <c r="AA141" s="8" t="s">
        <v>176</v>
      </c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</row>
    <row r="142">
      <c r="C142" s="62" t="s">
        <v>116</v>
      </c>
      <c r="D142" s="8" t="s">
        <v>126</v>
      </c>
      <c r="E142" s="62" t="s">
        <v>118</v>
      </c>
      <c r="F142" s="62"/>
      <c r="G142" s="71">
        <f t="shared" si="99"/>
        <v>0.3856</v>
      </c>
      <c r="H142" s="71">
        <f t="shared" si="100"/>
        <v>0.5225</v>
      </c>
      <c r="I142" s="71">
        <f t="shared" si="101"/>
        <v>0.5972</v>
      </c>
      <c r="J142" s="71">
        <f t="shared" si="102"/>
        <v>0.6861</v>
      </c>
      <c r="K142" s="71">
        <f t="shared" ref="K142:L142" si="119">K133-0.0477</f>
        <v>0.7477</v>
      </c>
      <c r="L142" s="71">
        <f t="shared" si="119"/>
        <v>0.7825</v>
      </c>
      <c r="M142" s="71">
        <f t="shared" si="104"/>
        <v>0.7937</v>
      </c>
      <c r="N142" s="71">
        <f t="shared" si="105"/>
        <v>0.7911</v>
      </c>
      <c r="O142" s="71">
        <f t="shared" si="106"/>
        <v>0.8004</v>
      </c>
      <c r="P142" s="71">
        <f t="shared" si="107"/>
        <v>0.7926</v>
      </c>
      <c r="Q142" s="71">
        <f t="shared" si="108"/>
        <v>0.7935</v>
      </c>
      <c r="R142" s="71">
        <f t="shared" si="109"/>
        <v>0.7897</v>
      </c>
      <c r="S142" s="71">
        <f t="shared" si="110"/>
        <v>0.7878</v>
      </c>
      <c r="T142" s="71">
        <f t="shared" si="111"/>
        <v>0.7905</v>
      </c>
      <c r="U142" s="71">
        <f t="shared" si="112"/>
        <v>0.7917</v>
      </c>
      <c r="V142" s="71">
        <f t="shared" si="113"/>
        <v>0.7855</v>
      </c>
      <c r="W142" s="71">
        <f t="shared" si="114"/>
        <v>0.7844</v>
      </c>
      <c r="X142" s="71">
        <f t="shared" si="115"/>
        <v>0.7989</v>
      </c>
      <c r="Y142" s="71">
        <f t="shared" si="116"/>
        <v>0.794</v>
      </c>
      <c r="Z142" s="71">
        <f t="shared" si="117"/>
        <v>0.7908</v>
      </c>
      <c r="AA142" s="8" t="s">
        <v>177</v>
      </c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</row>
    <row r="143">
      <c r="C143" s="62" t="s">
        <v>116</v>
      </c>
      <c r="D143" s="8" t="s">
        <v>128</v>
      </c>
      <c r="E143" s="62" t="s">
        <v>118</v>
      </c>
      <c r="F143" s="62"/>
      <c r="G143" s="71">
        <f t="shared" si="99"/>
        <v>0.1495</v>
      </c>
      <c r="H143" s="71">
        <f t="shared" si="100"/>
        <v>0.2333</v>
      </c>
      <c r="I143" s="71">
        <f t="shared" si="101"/>
        <v>0.2956</v>
      </c>
      <c r="J143" s="71">
        <f t="shared" si="102"/>
        <v>0.371</v>
      </c>
      <c r="K143" s="71">
        <f t="shared" ref="K143:L143" si="120">K134-0.0477</f>
        <v>0.5078</v>
      </c>
      <c r="L143" s="71">
        <f t="shared" si="120"/>
        <v>0.5275</v>
      </c>
      <c r="M143" s="71">
        <f t="shared" si="104"/>
        <v>0.5068</v>
      </c>
      <c r="N143" s="71">
        <f t="shared" si="105"/>
        <v>0.5383</v>
      </c>
      <c r="O143" s="71">
        <f t="shared" si="106"/>
        <v>0.5224</v>
      </c>
      <c r="P143" s="71">
        <f t="shared" si="107"/>
        <v>0.5237</v>
      </c>
      <c r="Q143" s="71">
        <f t="shared" si="108"/>
        <v>0.4803</v>
      </c>
      <c r="R143" s="71">
        <f t="shared" si="109"/>
        <v>0.5138</v>
      </c>
      <c r="S143" s="71">
        <f t="shared" si="110"/>
        <v>0.5019</v>
      </c>
      <c r="T143" s="71">
        <f t="shared" si="111"/>
        <v>0.4772</v>
      </c>
      <c r="U143" s="71">
        <f t="shared" si="112"/>
        <v>0.4869</v>
      </c>
      <c r="V143" s="71">
        <f t="shared" si="113"/>
        <v>0.4655</v>
      </c>
      <c r="W143" s="71">
        <f t="shared" si="114"/>
        <v>0.4695</v>
      </c>
      <c r="X143" s="71">
        <f t="shared" si="115"/>
        <v>0.4756</v>
      </c>
      <c r="Y143" s="71">
        <f t="shared" si="116"/>
        <v>0.4712</v>
      </c>
      <c r="Z143" s="71">
        <f t="shared" si="117"/>
        <v>0.4724</v>
      </c>
      <c r="AA143" s="8" t="s">
        <v>178</v>
      </c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</row>
    <row r="144">
      <c r="C144" s="62" t="s">
        <v>116</v>
      </c>
      <c r="D144" s="8" t="s">
        <v>130</v>
      </c>
      <c r="E144" s="62" t="s">
        <v>118</v>
      </c>
      <c r="F144" s="62"/>
      <c r="G144" s="71">
        <f t="shared" si="99"/>
        <v>0.1002</v>
      </c>
      <c r="H144" s="71">
        <f t="shared" si="100"/>
        <v>0.1534</v>
      </c>
      <c r="I144" s="71">
        <f t="shared" si="101"/>
        <v>0.2114</v>
      </c>
      <c r="J144" s="71">
        <f t="shared" si="102"/>
        <v>0.2368</v>
      </c>
      <c r="K144" s="71">
        <f t="shared" ref="K144:L144" si="121">K135-0.0477</f>
        <v>0.2909</v>
      </c>
      <c r="L144" s="71">
        <f t="shared" si="121"/>
        <v>0.3401</v>
      </c>
      <c r="M144" s="71">
        <f t="shared" si="104"/>
        <v>0.3128</v>
      </c>
      <c r="N144" s="71">
        <f t="shared" si="105"/>
        <v>0.323</v>
      </c>
      <c r="O144" s="71">
        <f t="shared" si="106"/>
        <v>0.3297</v>
      </c>
      <c r="P144" s="71">
        <f t="shared" si="107"/>
        <v>0.3078</v>
      </c>
      <c r="Q144" s="71">
        <f t="shared" si="108"/>
        <v>0.2626</v>
      </c>
      <c r="R144" s="71">
        <f t="shared" si="109"/>
        <v>0.2476</v>
      </c>
      <c r="S144" s="71">
        <f t="shared" si="110"/>
        <v>0.2812</v>
      </c>
      <c r="T144" s="71">
        <f t="shared" si="111"/>
        <v>0.2499</v>
      </c>
      <c r="U144" s="71">
        <f t="shared" si="112"/>
        <v>0.2441</v>
      </c>
      <c r="V144" s="71">
        <f t="shared" si="113"/>
        <v>0.2623</v>
      </c>
      <c r="W144" s="71">
        <f t="shared" si="114"/>
        <v>0.2764</v>
      </c>
      <c r="X144" s="71">
        <f t="shared" si="115"/>
        <v>0.2522</v>
      </c>
      <c r="Y144" s="71">
        <f t="shared" si="116"/>
        <v>0.2709</v>
      </c>
      <c r="Z144" s="71">
        <f t="shared" si="117"/>
        <v>0.2481</v>
      </c>
      <c r="AA144" s="8" t="s">
        <v>179</v>
      </c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</row>
    <row r="145">
      <c r="C145" s="62" t="s">
        <v>116</v>
      </c>
      <c r="D145" s="8" t="s">
        <v>153</v>
      </c>
      <c r="E145" s="62" t="s">
        <v>118</v>
      </c>
      <c r="F145" s="62"/>
      <c r="G145" s="71">
        <f t="shared" si="99"/>
        <v>0.1259</v>
      </c>
      <c r="H145" s="71">
        <f t="shared" si="100"/>
        <v>0.2166</v>
      </c>
      <c r="I145" s="71">
        <f t="shared" si="101"/>
        <v>0.3105</v>
      </c>
      <c r="J145" s="71">
        <f t="shared" si="102"/>
        <v>0.4047</v>
      </c>
      <c r="K145" s="71">
        <f t="shared" ref="K145:L145" si="122">K136-0.0477</f>
        <v>0.4936</v>
      </c>
      <c r="L145" s="71">
        <f t="shared" si="122"/>
        <v>0.5495</v>
      </c>
      <c r="M145" s="71">
        <f t="shared" si="104"/>
        <v>0.6111</v>
      </c>
      <c r="N145" s="71">
        <f t="shared" si="105"/>
        <v>0.6493</v>
      </c>
      <c r="O145" s="71">
        <f t="shared" si="106"/>
        <v>0.6505</v>
      </c>
      <c r="P145" s="71">
        <f t="shared" si="107"/>
        <v>0.6454</v>
      </c>
      <c r="Q145" s="71">
        <f t="shared" si="108"/>
        <v>0.6111</v>
      </c>
      <c r="R145" s="71">
        <f t="shared" si="109"/>
        <v>0.6095</v>
      </c>
      <c r="S145" s="71">
        <f t="shared" si="110"/>
        <v>0.6331</v>
      </c>
      <c r="T145" s="71">
        <f t="shared" si="111"/>
        <v>0.6318</v>
      </c>
      <c r="U145" s="71">
        <f t="shared" si="112"/>
        <v>0.626</v>
      </c>
      <c r="V145" s="71">
        <f t="shared" si="113"/>
        <v>0.6207</v>
      </c>
      <c r="W145" s="71">
        <f t="shared" si="114"/>
        <v>0.6081</v>
      </c>
      <c r="X145" s="71">
        <f t="shared" si="115"/>
        <v>0.6242</v>
      </c>
      <c r="Y145" s="71">
        <f t="shared" si="116"/>
        <v>0.6018</v>
      </c>
      <c r="Z145" s="71">
        <f t="shared" si="117"/>
        <v>0.6246</v>
      </c>
      <c r="AA145" s="8" t="s">
        <v>180</v>
      </c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</row>
    <row r="146">
      <c r="C146" s="62" t="s">
        <v>116</v>
      </c>
      <c r="D146" s="8" t="s">
        <v>151</v>
      </c>
      <c r="E146" s="62" t="s">
        <v>118</v>
      </c>
      <c r="F146" s="62"/>
      <c r="G146" s="71">
        <f t="shared" si="99"/>
        <v>0.071</v>
      </c>
      <c r="H146" s="71">
        <f t="shared" si="100"/>
        <v>0.1351</v>
      </c>
      <c r="I146" s="71">
        <f t="shared" si="101"/>
        <v>0.2056</v>
      </c>
      <c r="J146" s="71">
        <f t="shared" si="102"/>
        <v>0.2681</v>
      </c>
      <c r="K146" s="71">
        <f t="shared" ref="K146:L146" si="123">K137-0.0477</f>
        <v>0.3693</v>
      </c>
      <c r="L146" s="71">
        <f t="shared" si="123"/>
        <v>0.4114</v>
      </c>
      <c r="M146" s="71">
        <f t="shared" si="104"/>
        <v>0.4304</v>
      </c>
      <c r="N146" s="71">
        <f t="shared" si="105"/>
        <v>0.4876</v>
      </c>
      <c r="O146" s="71">
        <f t="shared" si="106"/>
        <v>0.4878</v>
      </c>
      <c r="P146" s="71">
        <f t="shared" si="107"/>
        <v>0.5131</v>
      </c>
      <c r="Q146" s="71">
        <f t="shared" si="108"/>
        <v>0.5335</v>
      </c>
      <c r="R146" s="71">
        <f t="shared" si="109"/>
        <v>0.5315</v>
      </c>
      <c r="S146" s="71">
        <f t="shared" si="110"/>
        <v>0.55</v>
      </c>
      <c r="T146" s="71">
        <f t="shared" si="111"/>
        <v>0.5548</v>
      </c>
      <c r="U146" s="71">
        <f t="shared" si="112"/>
        <v>0.5491</v>
      </c>
      <c r="V146" s="71">
        <f t="shared" si="113"/>
        <v>0.546</v>
      </c>
      <c r="W146" s="71">
        <f t="shared" si="114"/>
        <v>0.552</v>
      </c>
      <c r="X146" s="71">
        <f t="shared" si="115"/>
        <v>0.5516</v>
      </c>
      <c r="Y146" s="71">
        <f t="shared" si="116"/>
        <v>0.5456</v>
      </c>
      <c r="Z146" s="71">
        <f t="shared" si="117"/>
        <v>0.5264</v>
      </c>
      <c r="AA146" s="8" t="s">
        <v>182</v>
      </c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</row>
    <row r="147">
      <c r="A147" s="8"/>
      <c r="B147" s="6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</row>
    <row r="148">
      <c r="A148" s="61" t="s">
        <v>138</v>
      </c>
      <c r="C148" s="8" t="s">
        <v>109</v>
      </c>
      <c r="D148" s="8" t="s">
        <v>122</v>
      </c>
      <c r="E148" s="8" t="s">
        <v>118</v>
      </c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</row>
    <row r="149">
      <c r="C149" s="8" t="s">
        <v>116</v>
      </c>
      <c r="D149" s="8" t="s">
        <v>122</v>
      </c>
      <c r="E149" s="8" t="s">
        <v>118</v>
      </c>
      <c r="F149" s="55" t="s">
        <v>139</v>
      </c>
      <c r="G149" s="66">
        <f>38/60</f>
        <v>0.6333333333</v>
      </c>
      <c r="H149" s="66">
        <f t="shared" ref="H149:Z149" si="124">G149+0.5</f>
        <v>1.133333333</v>
      </c>
      <c r="I149" s="66">
        <f t="shared" si="124"/>
        <v>1.633333333</v>
      </c>
      <c r="J149" s="66">
        <f t="shared" si="124"/>
        <v>2.133333333</v>
      </c>
      <c r="K149" s="66">
        <f t="shared" si="124"/>
        <v>2.633333333</v>
      </c>
      <c r="L149" s="66">
        <f t="shared" si="124"/>
        <v>3.133333333</v>
      </c>
      <c r="M149" s="66">
        <f t="shared" si="124"/>
        <v>3.633333333</v>
      </c>
      <c r="N149" s="66">
        <f t="shared" si="124"/>
        <v>4.133333333</v>
      </c>
      <c r="O149" s="66">
        <f t="shared" si="124"/>
        <v>4.633333333</v>
      </c>
      <c r="P149" s="66">
        <f t="shared" si="124"/>
        <v>5.133333333</v>
      </c>
      <c r="Q149" s="66">
        <f t="shared" si="124"/>
        <v>5.633333333</v>
      </c>
      <c r="R149" s="66">
        <f t="shared" si="124"/>
        <v>6.133333333</v>
      </c>
      <c r="S149" s="66">
        <f t="shared" si="124"/>
        <v>6.633333333</v>
      </c>
      <c r="T149" s="66">
        <f t="shared" si="124"/>
        <v>7.133333333</v>
      </c>
      <c r="U149" s="66">
        <f t="shared" si="124"/>
        <v>7.633333333</v>
      </c>
      <c r="V149" s="66">
        <f t="shared" si="124"/>
        <v>8.133333333</v>
      </c>
      <c r="W149" s="66">
        <f t="shared" si="124"/>
        <v>8.633333333</v>
      </c>
      <c r="X149" s="66">
        <f t="shared" si="124"/>
        <v>9.133333333</v>
      </c>
      <c r="Y149" s="66">
        <f t="shared" si="124"/>
        <v>9.633333333</v>
      </c>
      <c r="Z149" s="66">
        <f t="shared" si="124"/>
        <v>10.13333333</v>
      </c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</row>
    <row r="150">
      <c r="C150" s="8" t="s">
        <v>116</v>
      </c>
      <c r="D150" s="8" t="s">
        <v>124</v>
      </c>
      <c r="E150" s="8" t="s">
        <v>118</v>
      </c>
      <c r="F150" s="55" t="s">
        <v>139</v>
      </c>
      <c r="G150" s="66">
        <f>35/60</f>
        <v>0.5833333333</v>
      </c>
      <c r="H150" s="66">
        <f t="shared" ref="H150:Z150" si="125">G150+0.5</f>
        <v>1.083333333</v>
      </c>
      <c r="I150" s="66">
        <f t="shared" si="125"/>
        <v>1.583333333</v>
      </c>
      <c r="J150" s="66">
        <f t="shared" si="125"/>
        <v>2.083333333</v>
      </c>
      <c r="K150" s="66">
        <f t="shared" si="125"/>
        <v>2.583333333</v>
      </c>
      <c r="L150" s="66">
        <f t="shared" si="125"/>
        <v>3.083333333</v>
      </c>
      <c r="M150" s="66">
        <f t="shared" si="125"/>
        <v>3.583333333</v>
      </c>
      <c r="N150" s="66">
        <f t="shared" si="125"/>
        <v>4.083333333</v>
      </c>
      <c r="O150" s="66">
        <f t="shared" si="125"/>
        <v>4.583333333</v>
      </c>
      <c r="P150" s="66">
        <f t="shared" si="125"/>
        <v>5.083333333</v>
      </c>
      <c r="Q150" s="66">
        <f t="shared" si="125"/>
        <v>5.583333333</v>
      </c>
      <c r="R150" s="66">
        <f t="shared" si="125"/>
        <v>6.083333333</v>
      </c>
      <c r="S150" s="66">
        <f t="shared" si="125"/>
        <v>6.583333333</v>
      </c>
      <c r="T150" s="66">
        <f t="shared" si="125"/>
        <v>7.083333333</v>
      </c>
      <c r="U150" s="66">
        <f t="shared" si="125"/>
        <v>7.583333333</v>
      </c>
      <c r="V150" s="66">
        <f t="shared" si="125"/>
        <v>8.083333333</v>
      </c>
      <c r="W150" s="66">
        <f t="shared" si="125"/>
        <v>8.583333333</v>
      </c>
      <c r="X150" s="66">
        <f t="shared" si="125"/>
        <v>9.083333333</v>
      </c>
      <c r="Y150" s="66">
        <f t="shared" si="125"/>
        <v>9.583333333</v>
      </c>
      <c r="Z150" s="66">
        <f t="shared" si="125"/>
        <v>10.08333333</v>
      </c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</row>
    <row r="151">
      <c r="C151" s="8" t="s">
        <v>116</v>
      </c>
      <c r="D151" s="8" t="s">
        <v>126</v>
      </c>
      <c r="E151" s="8" t="s">
        <v>118</v>
      </c>
      <c r="F151" s="55" t="s">
        <v>139</v>
      </c>
      <c r="G151" s="66">
        <f>32/60</f>
        <v>0.5333333333</v>
      </c>
      <c r="H151" s="66">
        <f t="shared" ref="H151:Z151" si="126">G151+0.5</f>
        <v>1.033333333</v>
      </c>
      <c r="I151" s="66">
        <f t="shared" si="126"/>
        <v>1.533333333</v>
      </c>
      <c r="J151" s="66">
        <f t="shared" si="126"/>
        <v>2.033333333</v>
      </c>
      <c r="K151" s="66">
        <f t="shared" si="126"/>
        <v>2.533333333</v>
      </c>
      <c r="L151" s="66">
        <f t="shared" si="126"/>
        <v>3.033333333</v>
      </c>
      <c r="M151" s="66">
        <f t="shared" si="126"/>
        <v>3.533333333</v>
      </c>
      <c r="N151" s="66">
        <f t="shared" si="126"/>
        <v>4.033333333</v>
      </c>
      <c r="O151" s="66">
        <f t="shared" si="126"/>
        <v>4.533333333</v>
      </c>
      <c r="P151" s="66">
        <f t="shared" si="126"/>
        <v>5.033333333</v>
      </c>
      <c r="Q151" s="66">
        <f t="shared" si="126"/>
        <v>5.533333333</v>
      </c>
      <c r="R151" s="66">
        <f t="shared" si="126"/>
        <v>6.033333333</v>
      </c>
      <c r="S151" s="66">
        <f t="shared" si="126"/>
        <v>6.533333333</v>
      </c>
      <c r="T151" s="66">
        <f t="shared" si="126"/>
        <v>7.033333333</v>
      </c>
      <c r="U151" s="66">
        <f t="shared" si="126"/>
        <v>7.533333333</v>
      </c>
      <c r="V151" s="66">
        <f t="shared" si="126"/>
        <v>8.033333333</v>
      </c>
      <c r="W151" s="66">
        <f t="shared" si="126"/>
        <v>8.533333333</v>
      </c>
      <c r="X151" s="66">
        <f t="shared" si="126"/>
        <v>9.033333333</v>
      </c>
      <c r="Y151" s="66">
        <f t="shared" si="126"/>
        <v>9.533333333</v>
      </c>
      <c r="Z151" s="66">
        <f t="shared" si="126"/>
        <v>10.03333333</v>
      </c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</row>
    <row r="152">
      <c r="C152" s="8" t="s">
        <v>116</v>
      </c>
      <c r="D152" s="8" t="s">
        <v>128</v>
      </c>
      <c r="E152" s="8" t="s">
        <v>118</v>
      </c>
      <c r="F152" s="55" t="s">
        <v>139</v>
      </c>
      <c r="G152" s="66">
        <f>29/60</f>
        <v>0.4833333333</v>
      </c>
      <c r="H152" s="66">
        <f t="shared" ref="H152:Z152" si="127">G152+0.5</f>
        <v>0.9833333333</v>
      </c>
      <c r="I152" s="66">
        <f t="shared" si="127"/>
        <v>1.483333333</v>
      </c>
      <c r="J152" s="66">
        <f t="shared" si="127"/>
        <v>1.983333333</v>
      </c>
      <c r="K152" s="66">
        <f t="shared" si="127"/>
        <v>2.483333333</v>
      </c>
      <c r="L152" s="66">
        <f t="shared" si="127"/>
        <v>2.983333333</v>
      </c>
      <c r="M152" s="66">
        <f t="shared" si="127"/>
        <v>3.483333333</v>
      </c>
      <c r="N152" s="66">
        <f t="shared" si="127"/>
        <v>3.983333333</v>
      </c>
      <c r="O152" s="66">
        <f t="shared" si="127"/>
        <v>4.483333333</v>
      </c>
      <c r="P152" s="66">
        <f t="shared" si="127"/>
        <v>4.983333333</v>
      </c>
      <c r="Q152" s="66">
        <f t="shared" si="127"/>
        <v>5.483333333</v>
      </c>
      <c r="R152" s="66">
        <f t="shared" si="127"/>
        <v>5.983333333</v>
      </c>
      <c r="S152" s="66">
        <f t="shared" si="127"/>
        <v>6.483333333</v>
      </c>
      <c r="T152" s="66">
        <f t="shared" si="127"/>
        <v>6.983333333</v>
      </c>
      <c r="U152" s="66">
        <f t="shared" si="127"/>
        <v>7.483333333</v>
      </c>
      <c r="V152" s="66">
        <f t="shared" si="127"/>
        <v>7.983333333</v>
      </c>
      <c r="W152" s="66">
        <f t="shared" si="127"/>
        <v>8.483333333</v>
      </c>
      <c r="X152" s="66">
        <f t="shared" si="127"/>
        <v>8.983333333</v>
      </c>
      <c r="Y152" s="66">
        <f t="shared" si="127"/>
        <v>9.483333333</v>
      </c>
      <c r="Z152" s="66">
        <f t="shared" si="127"/>
        <v>9.983333333</v>
      </c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</row>
    <row r="153">
      <c r="C153" s="8" t="s">
        <v>116</v>
      </c>
      <c r="D153" s="8" t="s">
        <v>130</v>
      </c>
      <c r="E153" s="8" t="s">
        <v>118</v>
      </c>
      <c r="F153" s="55" t="s">
        <v>139</v>
      </c>
      <c r="G153" s="66">
        <f>26/60</f>
        <v>0.4333333333</v>
      </c>
      <c r="H153" s="66">
        <f t="shared" ref="H153:Z153" si="128">G153+0.5</f>
        <v>0.9333333333</v>
      </c>
      <c r="I153" s="66">
        <f t="shared" si="128"/>
        <v>1.433333333</v>
      </c>
      <c r="J153" s="66">
        <f t="shared" si="128"/>
        <v>1.933333333</v>
      </c>
      <c r="K153" s="66">
        <f t="shared" si="128"/>
        <v>2.433333333</v>
      </c>
      <c r="L153" s="66">
        <f t="shared" si="128"/>
        <v>2.933333333</v>
      </c>
      <c r="M153" s="66">
        <f t="shared" si="128"/>
        <v>3.433333333</v>
      </c>
      <c r="N153" s="66">
        <f t="shared" si="128"/>
        <v>3.933333333</v>
      </c>
      <c r="O153" s="66">
        <f t="shared" si="128"/>
        <v>4.433333333</v>
      </c>
      <c r="P153" s="66">
        <f t="shared" si="128"/>
        <v>4.933333333</v>
      </c>
      <c r="Q153" s="66">
        <f t="shared" si="128"/>
        <v>5.433333333</v>
      </c>
      <c r="R153" s="66">
        <f t="shared" si="128"/>
        <v>5.933333333</v>
      </c>
      <c r="S153" s="66">
        <f t="shared" si="128"/>
        <v>6.433333333</v>
      </c>
      <c r="T153" s="66">
        <f t="shared" si="128"/>
        <v>6.933333333</v>
      </c>
      <c r="U153" s="66">
        <f t="shared" si="128"/>
        <v>7.433333333</v>
      </c>
      <c r="V153" s="66">
        <f t="shared" si="128"/>
        <v>7.933333333</v>
      </c>
      <c r="W153" s="66">
        <f t="shared" si="128"/>
        <v>8.433333333</v>
      </c>
      <c r="X153" s="66">
        <f t="shared" si="128"/>
        <v>8.933333333</v>
      </c>
      <c r="Y153" s="66">
        <f t="shared" si="128"/>
        <v>9.433333333</v>
      </c>
      <c r="Z153" s="66">
        <f t="shared" si="128"/>
        <v>9.933333333</v>
      </c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</row>
    <row r="154">
      <c r="C154" s="8" t="s">
        <v>116</v>
      </c>
      <c r="D154" s="8" t="s">
        <v>153</v>
      </c>
      <c r="E154" s="8" t="s">
        <v>118</v>
      </c>
      <c r="F154" s="55" t="s">
        <v>139</v>
      </c>
      <c r="G154" s="66">
        <f>23/60</f>
        <v>0.3833333333</v>
      </c>
      <c r="H154" s="66">
        <f t="shared" ref="H154:Z154" si="129">G154+0.5</f>
        <v>0.8833333333</v>
      </c>
      <c r="I154" s="66">
        <f t="shared" si="129"/>
        <v>1.383333333</v>
      </c>
      <c r="J154" s="66">
        <f t="shared" si="129"/>
        <v>1.883333333</v>
      </c>
      <c r="K154" s="66">
        <f t="shared" si="129"/>
        <v>2.383333333</v>
      </c>
      <c r="L154" s="66">
        <f t="shared" si="129"/>
        <v>2.883333333</v>
      </c>
      <c r="M154" s="66">
        <f t="shared" si="129"/>
        <v>3.383333333</v>
      </c>
      <c r="N154" s="66">
        <f t="shared" si="129"/>
        <v>3.883333333</v>
      </c>
      <c r="O154" s="66">
        <f t="shared" si="129"/>
        <v>4.383333333</v>
      </c>
      <c r="P154" s="66">
        <f t="shared" si="129"/>
        <v>4.883333333</v>
      </c>
      <c r="Q154" s="66">
        <f t="shared" si="129"/>
        <v>5.383333333</v>
      </c>
      <c r="R154" s="66">
        <f t="shared" si="129"/>
        <v>5.883333333</v>
      </c>
      <c r="S154" s="66">
        <f t="shared" si="129"/>
        <v>6.383333333</v>
      </c>
      <c r="T154" s="66">
        <f t="shared" si="129"/>
        <v>6.883333333</v>
      </c>
      <c r="U154" s="66">
        <f t="shared" si="129"/>
        <v>7.383333333</v>
      </c>
      <c r="V154" s="66">
        <f t="shared" si="129"/>
        <v>7.883333333</v>
      </c>
      <c r="W154" s="66">
        <f t="shared" si="129"/>
        <v>8.383333333</v>
      </c>
      <c r="X154" s="66">
        <f t="shared" si="129"/>
        <v>8.883333333</v>
      </c>
      <c r="Y154" s="66">
        <f t="shared" si="129"/>
        <v>9.383333333</v>
      </c>
      <c r="Z154" s="66">
        <f t="shared" si="129"/>
        <v>9.883333333</v>
      </c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</row>
    <row r="155">
      <c r="C155" s="8" t="s">
        <v>116</v>
      </c>
      <c r="D155" s="8" t="s">
        <v>151</v>
      </c>
      <c r="E155" s="8" t="s">
        <v>118</v>
      </c>
      <c r="F155" s="55" t="s">
        <v>139</v>
      </c>
      <c r="G155" s="66">
        <v>0.33</v>
      </c>
      <c r="H155" s="66">
        <f t="shared" ref="H155:Z155" si="130">G155+0.5</f>
        <v>0.83</v>
      </c>
      <c r="I155" s="66">
        <f t="shared" si="130"/>
        <v>1.33</v>
      </c>
      <c r="J155" s="66">
        <f t="shared" si="130"/>
        <v>1.83</v>
      </c>
      <c r="K155" s="66">
        <f t="shared" si="130"/>
        <v>2.33</v>
      </c>
      <c r="L155" s="66">
        <f t="shared" si="130"/>
        <v>2.83</v>
      </c>
      <c r="M155" s="66">
        <f t="shared" si="130"/>
        <v>3.33</v>
      </c>
      <c r="N155" s="66">
        <f t="shared" si="130"/>
        <v>3.83</v>
      </c>
      <c r="O155" s="66">
        <f t="shared" si="130"/>
        <v>4.33</v>
      </c>
      <c r="P155" s="66">
        <f t="shared" si="130"/>
        <v>4.83</v>
      </c>
      <c r="Q155" s="66">
        <f t="shared" si="130"/>
        <v>5.33</v>
      </c>
      <c r="R155" s="66">
        <f t="shared" si="130"/>
        <v>5.83</v>
      </c>
      <c r="S155" s="66">
        <f t="shared" si="130"/>
        <v>6.33</v>
      </c>
      <c r="T155" s="66">
        <f t="shared" si="130"/>
        <v>6.83</v>
      </c>
      <c r="U155" s="66">
        <f t="shared" si="130"/>
        <v>7.33</v>
      </c>
      <c r="V155" s="66">
        <f t="shared" si="130"/>
        <v>7.83</v>
      </c>
      <c r="W155" s="66">
        <f t="shared" si="130"/>
        <v>8.33</v>
      </c>
      <c r="X155" s="66">
        <f t="shared" si="130"/>
        <v>8.83</v>
      </c>
      <c r="Y155" s="66">
        <f t="shared" si="130"/>
        <v>9.33</v>
      </c>
      <c r="Z155" s="66">
        <f t="shared" si="130"/>
        <v>9.83</v>
      </c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</row>
    <row r="157">
      <c r="A157" s="8"/>
      <c r="B157" s="8" t="s">
        <v>88</v>
      </c>
      <c r="C157" s="8" t="s">
        <v>140</v>
      </c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</row>
    <row r="158">
      <c r="A158" s="67" t="s">
        <v>141</v>
      </c>
      <c r="B158" s="8" t="s">
        <v>122</v>
      </c>
      <c r="C158" s="68">
        <f t="shared" ref="C158:C164" si="131">G140/(G149*60)</f>
        <v>0.01218157895</v>
      </c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</row>
    <row r="159">
      <c r="A159" s="8"/>
      <c r="B159" s="8" t="s">
        <v>124</v>
      </c>
      <c r="C159" s="68">
        <f t="shared" si="131"/>
        <v>0.01256857143</v>
      </c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</row>
    <row r="160">
      <c r="A160" s="8"/>
      <c r="B160" s="8" t="s">
        <v>126</v>
      </c>
      <c r="C160" s="68">
        <f t="shared" si="131"/>
        <v>0.01205</v>
      </c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</row>
    <row r="161">
      <c r="A161" s="8"/>
      <c r="B161" s="8" t="s">
        <v>128</v>
      </c>
      <c r="C161" s="68">
        <f t="shared" si="131"/>
        <v>0.005155172414</v>
      </c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</row>
    <row r="162">
      <c r="A162" s="8"/>
      <c r="B162" s="8" t="s">
        <v>130</v>
      </c>
      <c r="C162" s="68">
        <f t="shared" si="131"/>
        <v>0.003853846154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</row>
    <row r="163">
      <c r="A163" s="8"/>
      <c r="B163" s="8" t="s">
        <v>153</v>
      </c>
      <c r="C163" s="68">
        <f t="shared" si="131"/>
        <v>0.005473913043</v>
      </c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</row>
    <row r="164">
      <c r="A164" s="8"/>
      <c r="B164" s="8" t="s">
        <v>151</v>
      </c>
      <c r="C164" s="68">
        <f t="shared" si="131"/>
        <v>0.003585858586</v>
      </c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</row>
    <row r="165">
      <c r="A165" s="8"/>
      <c r="B165" s="8"/>
      <c r="C165" s="72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</row>
    <row r="166">
      <c r="A166" s="8"/>
      <c r="B166" s="8"/>
      <c r="C166" s="72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</row>
    <row r="170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8"/>
      <c r="AL170" s="8"/>
      <c r="AM170" s="8"/>
      <c r="AN170" s="8"/>
      <c r="AO170" s="8"/>
      <c r="AP170" s="8"/>
      <c r="AQ170" s="8"/>
    </row>
    <row r="171">
      <c r="A171" s="8"/>
      <c r="B171" s="8"/>
      <c r="C171" s="78"/>
      <c r="D171" s="78"/>
      <c r="E171" s="78"/>
      <c r="F171" s="78"/>
      <c r="G171" s="78" t="s">
        <v>183</v>
      </c>
      <c r="H171" s="78" t="s">
        <v>184</v>
      </c>
      <c r="I171" s="78" t="s">
        <v>92</v>
      </c>
      <c r="J171" s="78" t="s">
        <v>185</v>
      </c>
      <c r="K171" s="78" t="s">
        <v>186</v>
      </c>
      <c r="L171" s="78" t="s">
        <v>94</v>
      </c>
      <c r="M171" s="78" t="s">
        <v>187</v>
      </c>
      <c r="N171" s="78" t="s">
        <v>188</v>
      </c>
      <c r="O171" s="78" t="s">
        <v>96</v>
      </c>
      <c r="P171" s="78" t="s">
        <v>189</v>
      </c>
      <c r="Q171" s="78" t="s">
        <v>190</v>
      </c>
      <c r="R171" s="78" t="s">
        <v>98</v>
      </c>
      <c r="S171" s="78" t="s">
        <v>191</v>
      </c>
      <c r="T171" s="78" t="s">
        <v>192</v>
      </c>
      <c r="U171" s="78" t="s">
        <v>193</v>
      </c>
      <c r="V171" s="78" t="s">
        <v>194</v>
      </c>
      <c r="W171" s="78" t="s">
        <v>195</v>
      </c>
      <c r="X171" s="78" t="s">
        <v>196</v>
      </c>
      <c r="Y171" s="78" t="s">
        <v>197</v>
      </c>
      <c r="Z171" s="78" t="s">
        <v>198</v>
      </c>
      <c r="AA171" s="78" t="s">
        <v>199</v>
      </c>
      <c r="AB171" s="78" t="s">
        <v>200</v>
      </c>
      <c r="AC171" s="78" t="s">
        <v>201</v>
      </c>
      <c r="AD171" s="78" t="s">
        <v>202</v>
      </c>
      <c r="AE171" s="78" t="s">
        <v>203</v>
      </c>
      <c r="AF171" s="78" t="s">
        <v>204</v>
      </c>
      <c r="AG171" s="78" t="s">
        <v>205</v>
      </c>
      <c r="AH171" s="78" t="s">
        <v>206</v>
      </c>
      <c r="AI171" s="78" t="s">
        <v>207</v>
      </c>
      <c r="AJ171" s="78" t="s">
        <v>208</v>
      </c>
      <c r="AK171" s="8"/>
      <c r="AL171" s="8"/>
      <c r="AM171" s="8"/>
      <c r="AN171" s="8"/>
      <c r="AO171" s="8"/>
      <c r="AP171" s="8"/>
      <c r="AQ171" s="8"/>
    </row>
    <row r="172">
      <c r="A172" s="79" t="s">
        <v>209</v>
      </c>
      <c r="C172" s="8" t="s">
        <v>109</v>
      </c>
      <c r="D172" s="8" t="s">
        <v>210</v>
      </c>
      <c r="E172" s="8" t="s">
        <v>118</v>
      </c>
      <c r="F172" s="8"/>
      <c r="G172" s="9">
        <v>0.0017</v>
      </c>
      <c r="H172" s="9">
        <v>8.0E-4</v>
      </c>
      <c r="I172" s="75">
        <v>0.0015</v>
      </c>
      <c r="J172" s="9">
        <v>0.0016</v>
      </c>
      <c r="K172" s="9">
        <v>0.0011</v>
      </c>
      <c r="L172" s="9">
        <v>0.0019</v>
      </c>
      <c r="M172" s="9">
        <v>0.0022</v>
      </c>
      <c r="N172" s="9">
        <v>0.0017</v>
      </c>
      <c r="O172" s="9">
        <v>0.0017</v>
      </c>
      <c r="P172" s="9">
        <v>0.0015</v>
      </c>
      <c r="Q172" s="9">
        <v>0.0017</v>
      </c>
      <c r="R172" s="9">
        <v>0.0018</v>
      </c>
      <c r="S172" s="9">
        <v>0.001</v>
      </c>
      <c r="T172" s="9">
        <v>0.0025</v>
      </c>
      <c r="U172" s="9">
        <v>0.0024</v>
      </c>
      <c r="V172" s="9">
        <v>0.0017</v>
      </c>
      <c r="W172" s="9">
        <v>0.0023</v>
      </c>
      <c r="X172" s="9">
        <v>0.0025</v>
      </c>
      <c r="Y172" s="9">
        <v>0.0022</v>
      </c>
      <c r="Z172" s="9">
        <v>0.0018</v>
      </c>
      <c r="AA172" s="9">
        <v>0.0028</v>
      </c>
      <c r="AB172" s="9">
        <v>0.0029</v>
      </c>
      <c r="AC172" s="9">
        <v>0.0028</v>
      </c>
      <c r="AD172" s="9">
        <v>0.0027</v>
      </c>
      <c r="AE172" s="9">
        <v>0.0032</v>
      </c>
      <c r="AF172" s="9">
        <v>0.0038</v>
      </c>
      <c r="AG172" s="9">
        <v>0.0036</v>
      </c>
      <c r="AH172" s="9">
        <v>0.0034</v>
      </c>
      <c r="AI172" s="9">
        <v>0.004</v>
      </c>
      <c r="AJ172" s="9">
        <v>0.0043</v>
      </c>
      <c r="AK172" s="8"/>
      <c r="AL172" s="8"/>
      <c r="AM172" s="8"/>
      <c r="AN172" s="8"/>
      <c r="AO172" s="8"/>
      <c r="AP172" s="8"/>
      <c r="AQ172" s="8"/>
    </row>
    <row r="173">
      <c r="C173" s="8" t="s">
        <v>116</v>
      </c>
      <c r="D173" s="8" t="s">
        <v>210</v>
      </c>
      <c r="E173" s="8" t="s">
        <v>118</v>
      </c>
      <c r="F173" s="8"/>
      <c r="G173" s="9">
        <v>0.3245</v>
      </c>
      <c r="H173" s="9">
        <v>0.3807</v>
      </c>
      <c r="I173" s="75">
        <v>0.4359</v>
      </c>
      <c r="J173" s="9">
        <v>0.514</v>
      </c>
      <c r="K173" s="9">
        <v>0.5713</v>
      </c>
      <c r="L173" s="9">
        <v>0.6496</v>
      </c>
      <c r="M173" s="9">
        <v>0.7126</v>
      </c>
      <c r="N173" s="9">
        <v>0.7577</v>
      </c>
      <c r="O173" s="9">
        <v>0.832</v>
      </c>
      <c r="P173" s="9">
        <v>0.8823</v>
      </c>
      <c r="Q173" s="9">
        <v>0.9465</v>
      </c>
      <c r="R173" s="9">
        <v>1.0403</v>
      </c>
      <c r="S173" s="9">
        <v>1.0892</v>
      </c>
      <c r="T173" s="9">
        <v>1.149</v>
      </c>
      <c r="U173" s="9">
        <v>1.2175</v>
      </c>
      <c r="V173" s="9">
        <v>1.2703</v>
      </c>
      <c r="W173" s="9">
        <v>1.347</v>
      </c>
      <c r="X173" s="9">
        <v>1.4009</v>
      </c>
      <c r="Y173" s="9">
        <v>1.4905</v>
      </c>
      <c r="Z173" s="9">
        <v>1.5485</v>
      </c>
      <c r="AA173" s="9">
        <v>1.6124</v>
      </c>
      <c r="AB173" s="9">
        <v>1.6541</v>
      </c>
      <c r="AC173" s="9">
        <v>1.7176</v>
      </c>
      <c r="AD173" s="9">
        <v>1.785</v>
      </c>
      <c r="AE173" s="9">
        <v>1.8416</v>
      </c>
      <c r="AF173" s="9">
        <v>1.9009</v>
      </c>
      <c r="AG173" s="9">
        <v>1.973</v>
      </c>
      <c r="AH173" s="9">
        <v>2.0219</v>
      </c>
      <c r="AI173" s="9">
        <v>2.0817</v>
      </c>
      <c r="AJ173" s="9">
        <v>2.1344</v>
      </c>
      <c r="AK173" s="8"/>
      <c r="AL173" s="8"/>
      <c r="AM173" s="8"/>
      <c r="AN173" s="8"/>
      <c r="AO173" s="8"/>
      <c r="AP173" s="8"/>
      <c r="AQ173" s="8"/>
    </row>
    <row r="174">
      <c r="C174" s="8" t="s">
        <v>116</v>
      </c>
      <c r="D174" s="8" t="s">
        <v>211</v>
      </c>
      <c r="E174" s="8" t="s">
        <v>118</v>
      </c>
      <c r="F174" s="8"/>
      <c r="G174" s="9">
        <v>0.3</v>
      </c>
      <c r="H174" s="9">
        <v>0.3579</v>
      </c>
      <c r="I174" s="75">
        <v>0.4194</v>
      </c>
      <c r="J174" s="9">
        <v>0.4783</v>
      </c>
      <c r="K174" s="9">
        <v>0.5397</v>
      </c>
      <c r="L174" s="9">
        <v>0.5983</v>
      </c>
      <c r="M174" s="9">
        <v>0.6541</v>
      </c>
      <c r="N174" s="9">
        <v>0.7027</v>
      </c>
      <c r="O174" s="9">
        <v>0.7478</v>
      </c>
      <c r="P174" s="9">
        <v>0.7975</v>
      </c>
      <c r="Q174" s="9">
        <v>0.8523</v>
      </c>
      <c r="R174" s="9">
        <v>0.9067</v>
      </c>
      <c r="S174" s="9">
        <v>0.9607</v>
      </c>
      <c r="T174" s="9">
        <v>1.0129</v>
      </c>
      <c r="U174" s="9">
        <v>1.066</v>
      </c>
      <c r="V174" s="9">
        <v>1.1157</v>
      </c>
      <c r="W174" s="9">
        <v>1.1631</v>
      </c>
      <c r="X174" s="9">
        <v>1.2073</v>
      </c>
      <c r="Y174" s="9">
        <v>1.2473</v>
      </c>
      <c r="Z174" s="9">
        <v>1.2855</v>
      </c>
      <c r="AA174" s="9">
        <v>1.3244</v>
      </c>
      <c r="AB174" s="9">
        <v>1.3562</v>
      </c>
      <c r="AC174" s="9">
        <v>1.3852</v>
      </c>
      <c r="AD174" s="9">
        <v>1.4087</v>
      </c>
      <c r="AE174" s="9">
        <v>1.4282</v>
      </c>
      <c r="AF174" s="9">
        <v>1.4456</v>
      </c>
      <c r="AG174" s="9">
        <v>1.463</v>
      </c>
      <c r="AH174" s="9">
        <v>1.4735</v>
      </c>
      <c r="AI174" s="9">
        <v>1.4825</v>
      </c>
      <c r="AJ174" s="9">
        <v>1.4814</v>
      </c>
      <c r="AK174" s="8"/>
      <c r="AL174" s="8"/>
      <c r="AM174" s="8"/>
      <c r="AN174" s="8"/>
      <c r="AO174" s="8"/>
      <c r="AP174" s="8"/>
      <c r="AQ174" s="8"/>
    </row>
    <row r="175">
      <c r="C175" s="8" t="s">
        <v>116</v>
      </c>
      <c r="D175" s="8" t="s">
        <v>212</v>
      </c>
      <c r="E175" s="8" t="s">
        <v>118</v>
      </c>
      <c r="F175" s="8"/>
      <c r="G175" s="9">
        <v>0.2477</v>
      </c>
      <c r="H175" s="9">
        <v>0.2988</v>
      </c>
      <c r="I175" s="9">
        <v>0.3498</v>
      </c>
      <c r="J175" s="9">
        <v>0.3986</v>
      </c>
      <c r="K175" s="9">
        <v>0.444</v>
      </c>
      <c r="L175" s="9">
        <v>0.4892</v>
      </c>
      <c r="M175" s="9">
        <v>0.53</v>
      </c>
      <c r="N175" s="9">
        <v>0.5679</v>
      </c>
      <c r="O175" s="9">
        <v>0.6074</v>
      </c>
      <c r="P175" s="9">
        <v>0.6487</v>
      </c>
      <c r="Q175" s="9">
        <v>0.6504</v>
      </c>
      <c r="R175" s="9">
        <v>0.6746</v>
      </c>
      <c r="S175" s="9">
        <v>0.6877</v>
      </c>
      <c r="T175" s="9">
        <v>0.7056</v>
      </c>
      <c r="U175" s="9">
        <v>0.7181</v>
      </c>
      <c r="V175" s="9">
        <v>0.7263</v>
      </c>
      <c r="W175" s="9">
        <v>0.7319</v>
      </c>
      <c r="X175" s="9">
        <v>0.7379</v>
      </c>
      <c r="Y175" s="9">
        <v>0.7474</v>
      </c>
      <c r="Z175" s="9">
        <v>0.7486</v>
      </c>
      <c r="AA175" s="9">
        <v>0.7394</v>
      </c>
      <c r="AB175" s="9">
        <v>0.7516</v>
      </c>
      <c r="AC175" s="9">
        <v>0.7501</v>
      </c>
      <c r="AD175" s="9">
        <v>0.7704</v>
      </c>
      <c r="AE175" s="9">
        <v>0.7416</v>
      </c>
      <c r="AF175" s="9">
        <v>0.7394</v>
      </c>
      <c r="AG175" s="9">
        <v>0.7643</v>
      </c>
      <c r="AH175" s="9">
        <v>0.7557</v>
      </c>
      <c r="AI175" s="9">
        <v>0.7349</v>
      </c>
      <c r="AJ175" s="9">
        <v>0.7333</v>
      </c>
      <c r="AK175" s="8"/>
      <c r="AL175" s="8"/>
      <c r="AM175" s="8"/>
      <c r="AN175" s="8"/>
      <c r="AO175" s="8"/>
      <c r="AP175" s="8"/>
      <c r="AQ175" s="8"/>
    </row>
    <row r="176">
      <c r="C176" s="8" t="s">
        <v>116</v>
      </c>
      <c r="D176" s="8" t="s">
        <v>213</v>
      </c>
      <c r="E176" s="8" t="s">
        <v>118</v>
      </c>
      <c r="F176" s="8"/>
      <c r="G176" s="9">
        <v>0.2208</v>
      </c>
      <c r="H176" s="9">
        <v>0.2658</v>
      </c>
      <c r="I176" s="9">
        <v>0.312</v>
      </c>
      <c r="J176" s="9">
        <v>0.3557</v>
      </c>
      <c r="K176" s="9">
        <v>0.3976</v>
      </c>
      <c r="L176" s="9">
        <v>0.4336</v>
      </c>
      <c r="M176" s="9">
        <v>0.4641</v>
      </c>
      <c r="N176" s="9">
        <v>0.4884</v>
      </c>
      <c r="O176" s="9">
        <v>0.5122</v>
      </c>
      <c r="P176" s="9">
        <v>0.5307</v>
      </c>
      <c r="Q176" s="9">
        <v>0.5478</v>
      </c>
      <c r="R176" s="9">
        <v>0.5648</v>
      </c>
      <c r="S176" s="9">
        <v>0.5752</v>
      </c>
      <c r="T176" s="9">
        <v>0.5833</v>
      </c>
      <c r="U176" s="9">
        <v>0.5889</v>
      </c>
      <c r="V176" s="9">
        <v>0.5937</v>
      </c>
      <c r="W176" s="9">
        <v>0.5963</v>
      </c>
      <c r="X176" s="9">
        <v>0.5975</v>
      </c>
      <c r="Y176" s="9">
        <v>0.5979</v>
      </c>
      <c r="Z176" s="9">
        <v>0.598</v>
      </c>
      <c r="AA176" s="9">
        <v>0.5996</v>
      </c>
      <c r="AB176" s="9">
        <v>0.5989</v>
      </c>
      <c r="AC176" s="9">
        <v>0.5983</v>
      </c>
      <c r="AD176" s="9">
        <v>0.5973</v>
      </c>
      <c r="AE176" s="9">
        <v>0.5937</v>
      </c>
      <c r="AF176" s="9">
        <v>0.5942</v>
      </c>
      <c r="AG176" s="9">
        <v>0.5932</v>
      </c>
      <c r="AH176" s="9">
        <v>0.5913</v>
      </c>
      <c r="AI176" s="9">
        <v>0.5907</v>
      </c>
      <c r="AJ176" s="9">
        <v>0.5881</v>
      </c>
      <c r="AK176" s="8"/>
      <c r="AL176" s="8"/>
      <c r="AM176" s="8"/>
      <c r="AN176" s="8"/>
      <c r="AO176" s="8"/>
      <c r="AP176" s="8"/>
      <c r="AQ176" s="8"/>
    </row>
    <row r="177">
      <c r="C177" s="8" t="s">
        <v>116</v>
      </c>
      <c r="D177" s="8" t="s">
        <v>214</v>
      </c>
      <c r="E177" s="8" t="s">
        <v>118</v>
      </c>
      <c r="F177" s="8"/>
      <c r="G177" s="9">
        <v>0.1738</v>
      </c>
      <c r="H177" s="9">
        <v>0.2148</v>
      </c>
      <c r="I177" s="9">
        <v>0.2545</v>
      </c>
      <c r="J177" s="9">
        <v>0.2912</v>
      </c>
      <c r="K177" s="9">
        <v>0.3223</v>
      </c>
      <c r="L177" s="9">
        <v>0.3569</v>
      </c>
      <c r="M177" s="9">
        <v>0.3973</v>
      </c>
      <c r="N177" s="9">
        <v>0.3951</v>
      </c>
      <c r="O177" s="9">
        <v>0.4149</v>
      </c>
      <c r="P177" s="9">
        <v>0.4188</v>
      </c>
      <c r="Q177" s="9">
        <v>0.4295</v>
      </c>
      <c r="R177" s="9">
        <v>0.4395</v>
      </c>
      <c r="S177" s="9">
        <v>0.4432</v>
      </c>
      <c r="T177" s="9">
        <v>0.4489</v>
      </c>
      <c r="U177" s="9">
        <v>0.4526</v>
      </c>
      <c r="V177" s="9">
        <v>0.4554</v>
      </c>
      <c r="W177" s="9">
        <v>0.4565</v>
      </c>
      <c r="X177" s="9">
        <v>0.4579</v>
      </c>
      <c r="Y177" s="9">
        <v>0.4698</v>
      </c>
      <c r="Z177" s="9">
        <v>0.4575</v>
      </c>
      <c r="AA177" s="9">
        <v>0.456</v>
      </c>
      <c r="AB177" s="9">
        <v>0.4622</v>
      </c>
      <c r="AC177" s="9">
        <v>0.4851</v>
      </c>
      <c r="AD177" s="9">
        <v>0.4621</v>
      </c>
      <c r="AE177" s="9">
        <v>0.4632</v>
      </c>
      <c r="AF177" s="9">
        <v>0.4588</v>
      </c>
      <c r="AG177" s="9">
        <v>0.4753</v>
      </c>
      <c r="AH177" s="9">
        <v>0.4568</v>
      </c>
      <c r="AI177" s="9">
        <v>0.4548</v>
      </c>
      <c r="AJ177" s="9">
        <v>0.4686</v>
      </c>
      <c r="AK177" s="8"/>
      <c r="AL177" s="8"/>
      <c r="AM177" s="8"/>
      <c r="AN177" s="8"/>
      <c r="AO177" s="8"/>
      <c r="AP177" s="8"/>
      <c r="AQ177" s="8"/>
    </row>
    <row r="178">
      <c r="C178" s="8" t="s">
        <v>116</v>
      </c>
      <c r="D178" s="8" t="s">
        <v>215</v>
      </c>
      <c r="E178" s="8" t="s">
        <v>118</v>
      </c>
      <c r="F178" s="8"/>
      <c r="G178" s="9">
        <v>0.1469</v>
      </c>
      <c r="H178" s="9">
        <v>0.186</v>
      </c>
      <c r="I178" s="9">
        <v>0.2229</v>
      </c>
      <c r="J178" s="9">
        <v>0.2565</v>
      </c>
      <c r="K178" s="9">
        <v>0.2858</v>
      </c>
      <c r="L178" s="9">
        <v>0.3093</v>
      </c>
      <c r="M178" s="9">
        <v>0.3274</v>
      </c>
      <c r="N178" s="9">
        <v>0.3407</v>
      </c>
      <c r="O178" s="9">
        <v>0.3515</v>
      </c>
      <c r="P178" s="9">
        <v>0.3578</v>
      </c>
      <c r="Q178" s="9">
        <v>0.3633</v>
      </c>
      <c r="R178" s="9">
        <v>0.3691</v>
      </c>
      <c r="S178" s="9">
        <v>0.3705</v>
      </c>
      <c r="T178" s="9">
        <v>0.3728</v>
      </c>
      <c r="U178" s="9">
        <v>0.3744</v>
      </c>
      <c r="V178" s="9">
        <v>0.3736</v>
      </c>
      <c r="W178" s="9">
        <v>0.3742</v>
      </c>
      <c r="X178" s="9">
        <v>0.374</v>
      </c>
      <c r="Y178" s="9">
        <v>0.3747</v>
      </c>
      <c r="Z178" s="9">
        <v>0.3739</v>
      </c>
      <c r="AA178" s="9">
        <v>0.3733</v>
      </c>
      <c r="AB178" s="9">
        <v>0.3737</v>
      </c>
      <c r="AC178" s="9">
        <v>0.3737</v>
      </c>
      <c r="AD178" s="9">
        <v>0.3775</v>
      </c>
      <c r="AE178" s="9">
        <v>0.3707</v>
      </c>
      <c r="AF178" s="9">
        <v>0.3717</v>
      </c>
      <c r="AG178" s="9">
        <v>0.3712</v>
      </c>
      <c r="AH178" s="9">
        <v>0.3699</v>
      </c>
      <c r="AI178" s="9">
        <v>0.3715</v>
      </c>
      <c r="AJ178" s="9">
        <v>0.3678</v>
      </c>
      <c r="AK178" s="8"/>
      <c r="AL178" s="8"/>
      <c r="AM178" s="8"/>
      <c r="AN178" s="8"/>
      <c r="AO178" s="8"/>
      <c r="AP178" s="8"/>
      <c r="AQ178" s="8"/>
    </row>
    <row r="179">
      <c r="C179" s="8" t="s">
        <v>116</v>
      </c>
      <c r="D179" s="8" t="s">
        <v>216</v>
      </c>
      <c r="E179" s="8" t="s">
        <v>118</v>
      </c>
      <c r="F179" s="8"/>
      <c r="G179" s="9">
        <v>0.0978</v>
      </c>
      <c r="H179" s="9">
        <v>0.1275</v>
      </c>
      <c r="I179" s="9">
        <v>0.1539</v>
      </c>
      <c r="J179" s="9">
        <v>0.1761</v>
      </c>
      <c r="K179" s="9">
        <v>0.1924</v>
      </c>
      <c r="L179" s="9">
        <v>0.2054</v>
      </c>
      <c r="M179" s="9">
        <v>0.2152</v>
      </c>
      <c r="N179" s="9">
        <v>0.2211</v>
      </c>
      <c r="O179" s="9">
        <v>0.2239</v>
      </c>
      <c r="P179" s="9">
        <v>0.2258</v>
      </c>
      <c r="Q179" s="9">
        <v>0.2269</v>
      </c>
      <c r="R179" s="9">
        <v>0.2273</v>
      </c>
      <c r="S179" s="9">
        <v>0.227</v>
      </c>
      <c r="T179" s="9">
        <v>0.2279</v>
      </c>
      <c r="U179" s="9">
        <v>0.228</v>
      </c>
      <c r="V179" s="9">
        <v>0.2272</v>
      </c>
      <c r="W179" s="9">
        <v>0.2271</v>
      </c>
      <c r="X179" s="9">
        <v>0.2275</v>
      </c>
      <c r="Y179" s="9">
        <v>0.2256</v>
      </c>
      <c r="Z179" s="9">
        <v>0.2248</v>
      </c>
      <c r="AA179" s="9">
        <v>0.2246</v>
      </c>
      <c r="AB179" s="9">
        <v>0.2249</v>
      </c>
      <c r="AC179" s="9">
        <v>0.2242</v>
      </c>
      <c r="AD179" s="9">
        <v>0.2237</v>
      </c>
      <c r="AE179" s="9">
        <v>0.2232</v>
      </c>
      <c r="AF179" s="9">
        <v>0.2232</v>
      </c>
      <c r="AG179" s="9">
        <v>0.223</v>
      </c>
      <c r="AH179" s="9">
        <v>0.2222</v>
      </c>
      <c r="AI179" s="9">
        <v>0.2221</v>
      </c>
      <c r="AJ179" s="9">
        <v>0.2221</v>
      </c>
      <c r="AK179" s="8"/>
      <c r="AL179" s="8"/>
      <c r="AM179" s="8"/>
      <c r="AN179" s="8"/>
      <c r="AO179" s="8"/>
      <c r="AP179" s="8"/>
      <c r="AQ179" s="8"/>
    </row>
    <row r="180">
      <c r="C180" s="8" t="s">
        <v>116</v>
      </c>
      <c r="D180" s="8" t="s">
        <v>217</v>
      </c>
      <c r="E180" s="8" t="s">
        <v>118</v>
      </c>
      <c r="F180" s="8"/>
      <c r="G180" s="9">
        <v>0.0786</v>
      </c>
      <c r="H180" s="9">
        <v>0.1059</v>
      </c>
      <c r="I180" s="9">
        <v>0.1302</v>
      </c>
      <c r="J180" s="9">
        <v>0.149</v>
      </c>
      <c r="K180" s="9">
        <v>0.1632</v>
      </c>
      <c r="L180" s="9">
        <v>0.1753</v>
      </c>
      <c r="M180" s="9">
        <v>0.1833</v>
      </c>
      <c r="N180" s="9">
        <v>0.1873</v>
      </c>
      <c r="O180" s="9">
        <v>0.189</v>
      </c>
      <c r="P180" s="9">
        <v>0.1897</v>
      </c>
      <c r="Q180" s="9">
        <v>0.1903</v>
      </c>
      <c r="R180" s="9">
        <v>0.1902</v>
      </c>
      <c r="S180" s="9">
        <v>0.1893</v>
      </c>
      <c r="T180" s="9">
        <v>0.1904</v>
      </c>
      <c r="U180" s="9">
        <v>0.191</v>
      </c>
      <c r="V180" s="9">
        <v>0.1905</v>
      </c>
      <c r="W180" s="9">
        <v>0.1903</v>
      </c>
      <c r="X180" s="9">
        <v>0.1906</v>
      </c>
      <c r="Y180" s="9">
        <v>0.1892</v>
      </c>
      <c r="Z180" s="9">
        <v>0.1885</v>
      </c>
      <c r="AA180" s="9">
        <v>0.1883</v>
      </c>
      <c r="AB180" s="9">
        <v>0.189</v>
      </c>
      <c r="AC180" s="9">
        <v>0.1881</v>
      </c>
      <c r="AD180" s="9">
        <v>0.1871</v>
      </c>
      <c r="AE180" s="9">
        <v>0.1867</v>
      </c>
      <c r="AF180" s="9">
        <v>0.1872</v>
      </c>
      <c r="AG180" s="9">
        <v>0.1867</v>
      </c>
      <c r="AH180" s="9">
        <v>0.186</v>
      </c>
      <c r="AI180" s="9">
        <v>0.1859</v>
      </c>
      <c r="AJ180" s="9">
        <v>0.1858</v>
      </c>
      <c r="AK180" s="8"/>
      <c r="AL180" s="8"/>
      <c r="AM180" s="8"/>
      <c r="AN180" s="8"/>
      <c r="AO180" s="8"/>
      <c r="AP180" s="8"/>
      <c r="AQ180" s="8"/>
    </row>
    <row r="181">
      <c r="C181" s="8" t="s">
        <v>116</v>
      </c>
      <c r="D181" s="8" t="s">
        <v>218</v>
      </c>
      <c r="E181" s="8" t="s">
        <v>118</v>
      </c>
      <c r="F181" s="8"/>
      <c r="G181" s="9">
        <v>0.0485</v>
      </c>
      <c r="H181" s="9">
        <v>0.0665</v>
      </c>
      <c r="I181" s="9">
        <v>0.0828</v>
      </c>
      <c r="J181" s="9">
        <v>0.0942</v>
      </c>
      <c r="K181" s="9">
        <v>0.1016</v>
      </c>
      <c r="L181" s="9">
        <v>0.1078</v>
      </c>
      <c r="M181" s="9">
        <v>0.1117</v>
      </c>
      <c r="N181" s="9">
        <v>0.1138</v>
      </c>
      <c r="O181" s="9">
        <v>0.1135</v>
      </c>
      <c r="P181" s="9">
        <v>0.1134</v>
      </c>
      <c r="Q181" s="9">
        <v>0.114</v>
      </c>
      <c r="R181" s="9">
        <v>0.1151</v>
      </c>
      <c r="S181" s="9">
        <v>0.116</v>
      </c>
      <c r="T181" s="9">
        <v>0.1172</v>
      </c>
      <c r="U181" s="9">
        <v>0.114</v>
      </c>
      <c r="V181" s="9">
        <v>0.1193</v>
      </c>
      <c r="W181" s="9">
        <v>0.1147</v>
      </c>
      <c r="X181" s="9">
        <v>0.1191</v>
      </c>
      <c r="Y181" s="9">
        <v>0.1134</v>
      </c>
      <c r="Z181" s="9">
        <v>0.116</v>
      </c>
      <c r="AA181" s="9">
        <v>0.1122</v>
      </c>
      <c r="AB181" s="9">
        <v>0.1125</v>
      </c>
      <c r="AC181" s="9">
        <v>0.1118</v>
      </c>
      <c r="AD181" s="9">
        <v>0.1121</v>
      </c>
      <c r="AE181" s="9">
        <v>0.1114</v>
      </c>
      <c r="AF181" s="9">
        <v>0.1118</v>
      </c>
      <c r="AG181" s="9">
        <v>0.1112</v>
      </c>
      <c r="AH181" s="9">
        <v>0.1107</v>
      </c>
      <c r="AI181" s="9">
        <v>0.111</v>
      </c>
      <c r="AJ181" s="9">
        <v>0.1105</v>
      </c>
      <c r="AK181" s="8"/>
      <c r="AL181" s="8"/>
      <c r="AM181" s="8"/>
      <c r="AN181" s="8"/>
      <c r="AO181" s="8"/>
      <c r="AP181" s="8"/>
      <c r="AQ181" s="8"/>
    </row>
    <row r="182"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</row>
    <row r="183">
      <c r="C183" s="8" t="s">
        <v>109</v>
      </c>
      <c r="D183" s="8" t="s">
        <v>219</v>
      </c>
      <c r="E183" s="8" t="s">
        <v>118</v>
      </c>
      <c r="F183" s="8"/>
      <c r="G183" s="8">
        <v>-0.0077</v>
      </c>
      <c r="H183" s="9">
        <v>-0.0077</v>
      </c>
      <c r="I183" s="9">
        <v>-0.0076</v>
      </c>
      <c r="J183" s="9">
        <v>-0.0075</v>
      </c>
      <c r="K183" s="9">
        <v>-0.0076</v>
      </c>
      <c r="L183" s="9">
        <v>-0.0074</v>
      </c>
      <c r="M183" s="9">
        <v>-0.0074</v>
      </c>
      <c r="N183" s="9">
        <v>-0.0073</v>
      </c>
      <c r="O183" s="9">
        <v>-0.0074</v>
      </c>
      <c r="P183" s="9">
        <v>-0.0072</v>
      </c>
      <c r="Q183" s="9">
        <v>-0.007</v>
      </c>
      <c r="R183" s="9">
        <v>-0.0071</v>
      </c>
      <c r="S183" s="9">
        <v>-0.007</v>
      </c>
      <c r="T183" s="9">
        <v>-0.007</v>
      </c>
      <c r="U183" s="9">
        <v>-0.0067</v>
      </c>
      <c r="V183" s="9">
        <v>-0.0067</v>
      </c>
      <c r="W183" s="9">
        <v>-0.0066</v>
      </c>
      <c r="X183" s="9">
        <v>-0.0064</v>
      </c>
      <c r="Y183" s="9">
        <v>-0.0061</v>
      </c>
      <c r="Z183" s="9">
        <v>-0.0062</v>
      </c>
      <c r="AA183" s="9">
        <v>-0.006</v>
      </c>
      <c r="AB183" s="9">
        <v>-0.006</v>
      </c>
      <c r="AC183" s="9">
        <v>-0.006</v>
      </c>
      <c r="AD183" s="9">
        <v>-0.0057</v>
      </c>
      <c r="AE183" s="9">
        <v>-0.0054</v>
      </c>
      <c r="AF183" s="9">
        <v>-0.0053</v>
      </c>
      <c r="AG183" s="9">
        <v>-0.0054</v>
      </c>
      <c r="AH183" s="9">
        <v>-0.0052</v>
      </c>
      <c r="AI183" s="9">
        <v>-0.0051</v>
      </c>
      <c r="AJ183" s="9">
        <v>-0.0049</v>
      </c>
      <c r="AK183" s="8"/>
      <c r="AL183" s="8"/>
      <c r="AM183" s="8"/>
      <c r="AN183" s="8"/>
      <c r="AO183" s="8"/>
      <c r="AP183" s="8"/>
      <c r="AQ183" s="8"/>
    </row>
    <row r="184">
      <c r="C184" s="8" t="s">
        <v>116</v>
      </c>
      <c r="D184" s="8" t="s">
        <v>219</v>
      </c>
      <c r="E184" s="8" t="s">
        <v>118</v>
      </c>
      <c r="F184" s="8"/>
      <c r="G184" s="8">
        <v>0.3406</v>
      </c>
      <c r="H184" s="9">
        <v>0.4031</v>
      </c>
      <c r="I184" s="9">
        <v>0.4625</v>
      </c>
      <c r="J184" s="9">
        <v>0.5231</v>
      </c>
      <c r="K184" s="9">
        <v>0.5787</v>
      </c>
      <c r="L184" s="9">
        <v>0.6406</v>
      </c>
      <c r="M184" s="9">
        <v>0.7077</v>
      </c>
      <c r="N184" s="9">
        <v>0.7668</v>
      </c>
      <c r="O184" s="9">
        <v>0.827</v>
      </c>
      <c r="P184" s="9">
        <v>0.8907</v>
      </c>
      <c r="Q184" s="9">
        <v>0.9543</v>
      </c>
      <c r="R184" s="9">
        <v>1.0167</v>
      </c>
      <c r="S184" s="9">
        <v>1.0767</v>
      </c>
      <c r="T184" s="9">
        <v>1.1439</v>
      </c>
      <c r="U184" s="9">
        <v>1.2045</v>
      </c>
      <c r="V184" s="9">
        <v>1.2688</v>
      </c>
      <c r="W184" s="9">
        <v>1.3292</v>
      </c>
      <c r="X184" s="9">
        <v>1.3937</v>
      </c>
      <c r="Y184" s="9">
        <v>1.4546</v>
      </c>
      <c r="Z184" s="9">
        <v>1.5191</v>
      </c>
      <c r="AA184" s="9">
        <v>1.5835</v>
      </c>
      <c r="AB184" s="9">
        <v>1.6414</v>
      </c>
      <c r="AC184" s="9">
        <v>1.7031</v>
      </c>
      <c r="AD184" s="9">
        <v>1.7619</v>
      </c>
      <c r="AE184" s="9">
        <v>1.8156</v>
      </c>
      <c r="AF184" s="9">
        <v>1.8731</v>
      </c>
      <c r="AG184" s="9">
        <v>1.9347</v>
      </c>
      <c r="AH184" s="9">
        <v>1.9849</v>
      </c>
      <c r="AI184" s="9">
        <v>2.0397</v>
      </c>
      <c r="AJ184" s="9">
        <v>2.0915</v>
      </c>
      <c r="AK184" s="8"/>
      <c r="AL184" s="8"/>
      <c r="AM184" s="8"/>
      <c r="AN184" s="8"/>
      <c r="AO184" s="8"/>
      <c r="AP184" s="8"/>
      <c r="AQ184" s="8"/>
    </row>
    <row r="185">
      <c r="C185" s="8" t="s">
        <v>116</v>
      </c>
      <c r="D185" s="8" t="s">
        <v>220</v>
      </c>
      <c r="E185" s="8" t="s">
        <v>118</v>
      </c>
      <c r="F185" s="8"/>
      <c r="G185" s="8">
        <v>0.2877</v>
      </c>
      <c r="H185" s="9">
        <v>0.3464</v>
      </c>
      <c r="I185" s="9">
        <v>0.4073</v>
      </c>
      <c r="J185" s="9">
        <v>0.4663</v>
      </c>
      <c r="K185" s="9">
        <v>0.5249</v>
      </c>
      <c r="L185" s="9">
        <v>0.5796</v>
      </c>
      <c r="M185" s="9">
        <v>0.6337</v>
      </c>
      <c r="N185" s="9">
        <v>0.6879</v>
      </c>
      <c r="O185" s="9">
        <v>0.7452</v>
      </c>
      <c r="P185" s="9">
        <v>0.7971</v>
      </c>
      <c r="Q185" s="9">
        <v>0.8481</v>
      </c>
      <c r="R185" s="9">
        <v>0.8982</v>
      </c>
      <c r="S185" s="9">
        <v>0.947</v>
      </c>
      <c r="T185" s="9">
        <v>0.9944</v>
      </c>
      <c r="U185" s="9">
        <v>1.0379</v>
      </c>
      <c r="V185" s="9">
        <v>1.0835</v>
      </c>
      <c r="W185" s="9">
        <v>1.1234</v>
      </c>
      <c r="X185" s="9">
        <v>1.1647</v>
      </c>
      <c r="Y185" s="9">
        <v>1.2035</v>
      </c>
      <c r="Z185" s="9">
        <v>1.2387</v>
      </c>
      <c r="AA185" s="9">
        <v>1.267</v>
      </c>
      <c r="AB185" s="9">
        <v>1.2914</v>
      </c>
      <c r="AC185" s="9">
        <v>1.3153</v>
      </c>
      <c r="AD185" s="9">
        <v>1.3341</v>
      </c>
      <c r="AE185" s="9">
        <v>1.3502</v>
      </c>
      <c r="AF185" s="9">
        <v>1.3599</v>
      </c>
      <c r="AG185" s="9">
        <v>1.3665</v>
      </c>
      <c r="AH185" s="9">
        <v>1.3753</v>
      </c>
      <c r="AI185" s="9">
        <v>1.3775</v>
      </c>
      <c r="AJ185" s="9">
        <v>1.3795</v>
      </c>
      <c r="AK185" s="8"/>
      <c r="AL185" s="8"/>
      <c r="AM185" s="8"/>
      <c r="AN185" s="8"/>
      <c r="AO185" s="8"/>
      <c r="AP185" s="8"/>
      <c r="AQ185" s="8"/>
    </row>
    <row r="186">
      <c r="C186" s="8" t="s">
        <v>116</v>
      </c>
      <c r="D186" s="8" t="s">
        <v>221</v>
      </c>
      <c r="E186" s="8" t="s">
        <v>118</v>
      </c>
      <c r="F186" s="8"/>
      <c r="G186" s="8">
        <v>0.2477</v>
      </c>
      <c r="H186" s="9">
        <v>0.299</v>
      </c>
      <c r="I186" s="9">
        <v>0.3519</v>
      </c>
      <c r="J186" s="9">
        <v>0.3999</v>
      </c>
      <c r="K186" s="9">
        <v>0.4438</v>
      </c>
      <c r="L186" s="9">
        <v>0.4841</v>
      </c>
      <c r="M186" s="9">
        <v>0.5205</v>
      </c>
      <c r="N186" s="9">
        <v>0.5523</v>
      </c>
      <c r="O186" s="9">
        <v>0.584</v>
      </c>
      <c r="P186" s="9">
        <v>0.6143</v>
      </c>
      <c r="Q186" s="9">
        <v>0.6389</v>
      </c>
      <c r="R186" s="9">
        <v>0.6657</v>
      </c>
      <c r="S186" s="9">
        <v>0.6838</v>
      </c>
      <c r="T186" s="9">
        <v>0.6997</v>
      </c>
      <c r="U186" s="9">
        <v>0.7035</v>
      </c>
      <c r="V186" s="9">
        <v>0.7118</v>
      </c>
      <c r="W186" s="9">
        <v>0.7339</v>
      </c>
      <c r="X186" s="9">
        <v>0.7226</v>
      </c>
      <c r="Y186" s="9">
        <v>0.7242</v>
      </c>
      <c r="Z186" s="9">
        <v>0.7276</v>
      </c>
      <c r="AA186" s="9">
        <v>0.7293</v>
      </c>
      <c r="AB186" s="9">
        <v>0.7284</v>
      </c>
      <c r="AC186" s="9">
        <v>0.7286</v>
      </c>
      <c r="AD186" s="9">
        <v>0.7281</v>
      </c>
      <c r="AE186" s="9">
        <v>0.7282</v>
      </c>
      <c r="AF186" s="9">
        <v>0.7271</v>
      </c>
      <c r="AG186" s="9">
        <v>0.7277</v>
      </c>
      <c r="AH186" s="9">
        <v>0.7265</v>
      </c>
      <c r="AI186" s="9">
        <v>0.7249</v>
      </c>
      <c r="AJ186" s="9">
        <v>0.7237</v>
      </c>
      <c r="AK186" s="8"/>
      <c r="AL186" s="8"/>
      <c r="AM186" s="8"/>
      <c r="AN186" s="8"/>
      <c r="AO186" s="8"/>
      <c r="AP186" s="8"/>
      <c r="AQ186" s="8"/>
    </row>
    <row r="187">
      <c r="C187" s="8" t="s">
        <v>116</v>
      </c>
      <c r="D187" s="8" t="s">
        <v>222</v>
      </c>
      <c r="E187" s="8" t="s">
        <v>118</v>
      </c>
      <c r="F187" s="8"/>
      <c r="G187" s="8">
        <v>0.2148</v>
      </c>
      <c r="H187" s="9">
        <v>0.261</v>
      </c>
      <c r="I187" s="9">
        <v>0.3057</v>
      </c>
      <c r="J187" s="9">
        <v>0.3477</v>
      </c>
      <c r="K187" s="9">
        <v>0.3846</v>
      </c>
      <c r="L187" s="9">
        <v>0.4231</v>
      </c>
      <c r="M187" s="9">
        <v>0.4602</v>
      </c>
      <c r="N187" s="9">
        <v>0.4894</v>
      </c>
      <c r="O187" s="9">
        <v>0.5009</v>
      </c>
      <c r="P187" s="9">
        <v>0.5164</v>
      </c>
      <c r="Q187" s="9">
        <v>0.5297</v>
      </c>
      <c r="R187" s="9">
        <v>0.5469</v>
      </c>
      <c r="S187" s="9">
        <v>0.559</v>
      </c>
      <c r="T187" s="9">
        <v>0.5692</v>
      </c>
      <c r="U187" s="9">
        <v>0.578</v>
      </c>
      <c r="V187" s="9">
        <v>0.5853</v>
      </c>
      <c r="W187" s="9">
        <v>0.5915</v>
      </c>
      <c r="X187" s="9">
        <v>0.5958</v>
      </c>
      <c r="Y187" s="9">
        <v>0.6028</v>
      </c>
      <c r="Z187" s="9">
        <v>0.6021</v>
      </c>
      <c r="AA187" s="9">
        <v>0.6247</v>
      </c>
      <c r="AB187" s="9">
        <v>0.6111</v>
      </c>
      <c r="AC187" s="9">
        <v>0.6259</v>
      </c>
      <c r="AD187" s="9">
        <v>0.613</v>
      </c>
      <c r="AE187" s="9">
        <v>0.6095</v>
      </c>
      <c r="AF187" s="9">
        <v>0.6217</v>
      </c>
      <c r="AG187" s="9">
        <v>0.6128</v>
      </c>
      <c r="AH187" s="9">
        <v>0.6043</v>
      </c>
      <c r="AI187" s="9">
        <v>0.6039</v>
      </c>
      <c r="AJ187" s="9">
        <v>0.6133</v>
      </c>
      <c r="AK187" s="8"/>
      <c r="AL187" s="8"/>
      <c r="AM187" s="8"/>
      <c r="AN187" s="8"/>
      <c r="AO187" s="8"/>
      <c r="AP187" s="8"/>
      <c r="AQ187" s="8"/>
    </row>
    <row r="188">
      <c r="C188" s="8" t="s">
        <v>116</v>
      </c>
      <c r="D188" s="8" t="s">
        <v>223</v>
      </c>
      <c r="E188" s="8" t="s">
        <v>118</v>
      </c>
      <c r="F188" s="8"/>
      <c r="G188" s="8">
        <v>0.176</v>
      </c>
      <c r="H188" s="9">
        <v>0.2176</v>
      </c>
      <c r="I188" s="9">
        <v>0.2575</v>
      </c>
      <c r="J188" s="9">
        <v>0.2941</v>
      </c>
      <c r="K188" s="9">
        <v>0.3255</v>
      </c>
      <c r="L188" s="9">
        <v>0.3517</v>
      </c>
      <c r="M188" s="9">
        <v>0.3746</v>
      </c>
      <c r="N188" s="9">
        <v>0.3937</v>
      </c>
      <c r="O188" s="9">
        <v>0.408</v>
      </c>
      <c r="P188" s="9">
        <v>0.4196</v>
      </c>
      <c r="Q188" s="9">
        <v>0.4268</v>
      </c>
      <c r="R188" s="9">
        <v>0.4338</v>
      </c>
      <c r="S188" s="9">
        <v>0.4398</v>
      </c>
      <c r="T188" s="9">
        <v>0.4424</v>
      </c>
      <c r="U188" s="9">
        <v>0.4479</v>
      </c>
      <c r="V188" s="9">
        <v>0.4471</v>
      </c>
      <c r="W188" s="9">
        <v>0.4496</v>
      </c>
      <c r="X188" s="9">
        <v>0.4495</v>
      </c>
      <c r="Y188" s="9">
        <v>0.4499</v>
      </c>
      <c r="Z188" s="9">
        <v>0.4497</v>
      </c>
      <c r="AA188" s="9">
        <v>0.4508</v>
      </c>
      <c r="AB188" s="9">
        <v>0.4513</v>
      </c>
      <c r="AC188" s="9">
        <v>0.4555</v>
      </c>
      <c r="AD188" s="9">
        <v>0.4513</v>
      </c>
      <c r="AE188" s="9">
        <v>0.4494</v>
      </c>
      <c r="AF188" s="9">
        <v>0.4494</v>
      </c>
      <c r="AG188" s="9">
        <v>0.4489</v>
      </c>
      <c r="AH188" s="9">
        <v>0.4475</v>
      </c>
      <c r="AI188" s="9">
        <v>0.4484</v>
      </c>
      <c r="AJ188" s="9">
        <v>0.4477</v>
      </c>
      <c r="AK188" s="8"/>
      <c r="AL188" s="8"/>
      <c r="AM188" s="8"/>
      <c r="AN188" s="8"/>
      <c r="AO188" s="8"/>
      <c r="AP188" s="8"/>
      <c r="AQ188" s="8"/>
    </row>
    <row r="189">
      <c r="C189" s="8" t="s">
        <v>116</v>
      </c>
      <c r="D189" s="8" t="s">
        <v>224</v>
      </c>
      <c r="E189" s="8" t="s">
        <v>118</v>
      </c>
      <c r="F189" s="8"/>
      <c r="G189" s="8">
        <v>0.1425</v>
      </c>
      <c r="H189" s="9">
        <v>0.1825</v>
      </c>
      <c r="I189" s="9">
        <v>0.2189</v>
      </c>
      <c r="J189" s="9">
        <v>0.2503</v>
      </c>
      <c r="K189" s="9">
        <v>0.2767</v>
      </c>
      <c r="L189" s="9">
        <v>0.3013</v>
      </c>
      <c r="M189" s="9">
        <v>0.3202</v>
      </c>
      <c r="N189" s="9">
        <v>0.3501</v>
      </c>
      <c r="O189" s="9">
        <v>0.333</v>
      </c>
      <c r="P189" s="9">
        <v>0.3392</v>
      </c>
      <c r="Q189" s="9">
        <v>0.3439</v>
      </c>
      <c r="R189" s="9">
        <v>0.3481</v>
      </c>
      <c r="S189" s="9">
        <v>0.3507</v>
      </c>
      <c r="T189" s="9">
        <v>0.3515</v>
      </c>
      <c r="U189" s="9">
        <v>0.353</v>
      </c>
      <c r="V189" s="9">
        <v>0.3524</v>
      </c>
      <c r="W189" s="9">
        <v>0.3528</v>
      </c>
      <c r="X189" s="9">
        <v>0.3522</v>
      </c>
      <c r="Y189" s="9">
        <v>0.3527</v>
      </c>
      <c r="Z189" s="9">
        <v>0.3509</v>
      </c>
      <c r="AA189" s="9">
        <v>0.351</v>
      </c>
      <c r="AB189" s="9">
        <v>0.353</v>
      </c>
      <c r="AC189" s="9">
        <v>0.3516</v>
      </c>
      <c r="AD189" s="9">
        <v>0.3494</v>
      </c>
      <c r="AE189" s="9">
        <v>0.3493</v>
      </c>
      <c r="AF189" s="9">
        <v>0.3494</v>
      </c>
      <c r="AG189" s="9">
        <v>0.3488</v>
      </c>
      <c r="AH189" s="9">
        <v>0.3476</v>
      </c>
      <c r="AI189" s="9">
        <v>0.3465</v>
      </c>
      <c r="AJ189" s="9">
        <v>0.3469</v>
      </c>
      <c r="AK189" s="8"/>
      <c r="AL189" s="8"/>
      <c r="AM189" s="8"/>
      <c r="AN189" s="8"/>
      <c r="AO189" s="8"/>
      <c r="AP189" s="8"/>
      <c r="AQ189" s="8"/>
    </row>
    <row r="190">
      <c r="C190" s="8" t="s">
        <v>116</v>
      </c>
      <c r="D190" s="8" t="s">
        <v>225</v>
      </c>
      <c r="E190" s="8" t="s">
        <v>118</v>
      </c>
      <c r="F190" s="8"/>
      <c r="G190" s="8">
        <v>0.0944</v>
      </c>
      <c r="H190" s="9">
        <v>0.1234</v>
      </c>
      <c r="I190" s="9">
        <v>0.1493</v>
      </c>
      <c r="J190" s="9">
        <v>0.1699</v>
      </c>
      <c r="K190" s="9">
        <v>0.1864</v>
      </c>
      <c r="L190" s="9">
        <v>0.1984</v>
      </c>
      <c r="M190" s="9">
        <v>0.2079</v>
      </c>
      <c r="N190" s="9">
        <v>0.2135</v>
      </c>
      <c r="O190" s="9">
        <v>0.2156</v>
      </c>
      <c r="P190" s="9">
        <v>0.2172</v>
      </c>
      <c r="Q190" s="9">
        <v>0.2183</v>
      </c>
      <c r="R190" s="9">
        <v>0.2188</v>
      </c>
      <c r="S190" s="9">
        <v>0.2197</v>
      </c>
      <c r="T190" s="9">
        <v>0.2193</v>
      </c>
      <c r="U190" s="9">
        <v>0.2197</v>
      </c>
      <c r="V190" s="9">
        <v>0.2197</v>
      </c>
      <c r="W190" s="9">
        <v>0.2196</v>
      </c>
      <c r="X190" s="9">
        <v>0.2199</v>
      </c>
      <c r="Y190" s="9">
        <v>0.2191</v>
      </c>
      <c r="Z190" s="9">
        <v>0.2191</v>
      </c>
      <c r="AA190" s="9">
        <v>0.2175</v>
      </c>
      <c r="AB190" s="9">
        <v>0.218</v>
      </c>
      <c r="AC190" s="9">
        <v>0.2176</v>
      </c>
      <c r="AD190" s="9">
        <v>0.2166</v>
      </c>
      <c r="AE190" s="9">
        <v>0.2165</v>
      </c>
      <c r="AF190" s="9">
        <v>0.2162</v>
      </c>
      <c r="AG190" s="9">
        <v>0.2165</v>
      </c>
      <c r="AH190" s="9">
        <v>0.2158</v>
      </c>
      <c r="AI190" s="9">
        <v>0.2152</v>
      </c>
      <c r="AJ190" s="9">
        <v>0.2152</v>
      </c>
      <c r="AK190" s="8"/>
      <c r="AL190" s="8"/>
      <c r="AM190" s="8"/>
      <c r="AN190" s="8"/>
      <c r="AO190" s="8"/>
      <c r="AP190" s="8"/>
      <c r="AQ190" s="8"/>
    </row>
    <row r="191">
      <c r="C191" s="8" t="s">
        <v>116</v>
      </c>
      <c r="D191" s="8" t="s">
        <v>217</v>
      </c>
      <c r="E191" s="8" t="s">
        <v>118</v>
      </c>
      <c r="F191" s="8"/>
      <c r="G191" s="8">
        <v>0.0718</v>
      </c>
      <c r="H191" s="9">
        <v>0.0984</v>
      </c>
      <c r="I191" s="9">
        <v>0.121</v>
      </c>
      <c r="J191" s="9">
        <v>0.1397</v>
      </c>
      <c r="K191" s="9">
        <v>0.1525</v>
      </c>
      <c r="L191" s="9">
        <v>0.1612</v>
      </c>
      <c r="M191" s="9">
        <v>0.1672</v>
      </c>
      <c r="N191" s="9">
        <v>0.1708</v>
      </c>
      <c r="O191" s="9">
        <v>0.1747</v>
      </c>
      <c r="P191" s="9">
        <v>0.1835</v>
      </c>
      <c r="Q191" s="9">
        <v>0.1794</v>
      </c>
      <c r="R191" s="9">
        <v>0.1775</v>
      </c>
      <c r="S191" s="9">
        <v>0.1782</v>
      </c>
      <c r="T191" s="9">
        <v>0.1779</v>
      </c>
      <c r="U191" s="9">
        <v>0.1818</v>
      </c>
      <c r="V191" s="9">
        <v>0.178</v>
      </c>
      <c r="W191" s="9">
        <v>0.1808</v>
      </c>
      <c r="X191" s="9">
        <v>0.1875</v>
      </c>
      <c r="Y191" s="9">
        <v>0.1764</v>
      </c>
      <c r="Z191" s="9">
        <v>0.1763</v>
      </c>
      <c r="AA191" s="9">
        <v>0.1763</v>
      </c>
      <c r="AB191" s="9">
        <v>0.1785</v>
      </c>
      <c r="AC191" s="9">
        <v>0.1847</v>
      </c>
      <c r="AD191" s="9">
        <v>0.1753</v>
      </c>
      <c r="AE191" s="9">
        <v>0.1783</v>
      </c>
      <c r="AF191" s="9">
        <v>0.1749</v>
      </c>
      <c r="AG191" s="9">
        <v>0.1744</v>
      </c>
      <c r="AH191" s="9">
        <v>0.1824</v>
      </c>
      <c r="AI191" s="9">
        <v>0.1775</v>
      </c>
      <c r="AJ191" s="9">
        <v>0.1772</v>
      </c>
      <c r="AK191" s="8"/>
      <c r="AL191" s="8"/>
      <c r="AM191" s="8"/>
      <c r="AN191" s="8"/>
      <c r="AO191" s="8"/>
      <c r="AP191" s="8"/>
      <c r="AQ191" s="8"/>
    </row>
    <row r="192">
      <c r="C192" s="8" t="s">
        <v>116</v>
      </c>
      <c r="D192" s="8" t="s">
        <v>226</v>
      </c>
      <c r="E192" s="8" t="s">
        <v>118</v>
      </c>
      <c r="F192" s="8"/>
      <c r="G192" s="8">
        <v>0.0504</v>
      </c>
      <c r="H192" s="9">
        <v>0.0729</v>
      </c>
      <c r="I192" s="9">
        <v>0.0903</v>
      </c>
      <c r="J192" s="9">
        <v>0.1031</v>
      </c>
      <c r="K192" s="9">
        <v>0.1112</v>
      </c>
      <c r="L192" s="9">
        <v>0.1163</v>
      </c>
      <c r="M192" s="9">
        <v>0.1195</v>
      </c>
      <c r="N192" s="9">
        <v>0.121</v>
      </c>
      <c r="O192" s="9">
        <v>0.1213</v>
      </c>
      <c r="P192" s="9">
        <v>0.122</v>
      </c>
      <c r="Q192" s="9">
        <v>0.1224</v>
      </c>
      <c r="R192" s="9">
        <v>0.1252</v>
      </c>
      <c r="S192" s="9">
        <v>0.1271</v>
      </c>
      <c r="T192" s="9">
        <v>0.1248</v>
      </c>
      <c r="U192" s="9">
        <v>0.1224</v>
      </c>
      <c r="V192" s="9">
        <v>0.1277</v>
      </c>
      <c r="W192" s="9">
        <v>0.1216</v>
      </c>
      <c r="X192" s="9">
        <v>0.1222</v>
      </c>
      <c r="Y192" s="9">
        <v>0.1217</v>
      </c>
      <c r="Z192" s="9">
        <v>0.1219</v>
      </c>
      <c r="AA192" s="9">
        <v>0.1217</v>
      </c>
      <c r="AB192" s="9">
        <v>0.1208</v>
      </c>
      <c r="AC192" s="9">
        <v>0.1203</v>
      </c>
      <c r="AD192" s="9">
        <v>0.1226</v>
      </c>
      <c r="AE192" s="9">
        <v>0.1201</v>
      </c>
      <c r="AF192" s="9">
        <v>0.1196</v>
      </c>
      <c r="AG192" s="9">
        <v>0.1194</v>
      </c>
      <c r="AH192" s="9">
        <v>0.1191</v>
      </c>
      <c r="AI192" s="9">
        <v>0.119</v>
      </c>
      <c r="AJ192" s="9">
        <v>0.1187</v>
      </c>
      <c r="AK192" s="8"/>
      <c r="AL192" s="8"/>
      <c r="AM192" s="8"/>
      <c r="AN192" s="8"/>
      <c r="AO192" s="8"/>
      <c r="AP192" s="8"/>
      <c r="AQ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</row>
    <row r="194">
      <c r="A194" s="8"/>
      <c r="B194" s="8"/>
      <c r="C194" s="8" t="s">
        <v>109</v>
      </c>
      <c r="D194" s="8" t="s">
        <v>227</v>
      </c>
      <c r="E194" s="8" t="s">
        <v>118</v>
      </c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</row>
    <row r="195">
      <c r="A195" s="8"/>
      <c r="B195" s="8"/>
      <c r="C195" s="8" t="s">
        <v>116</v>
      </c>
      <c r="D195" s="8" t="s">
        <v>227</v>
      </c>
      <c r="E195" s="8" t="s">
        <v>118</v>
      </c>
      <c r="F195" s="55" t="s">
        <v>139</v>
      </c>
      <c r="G195" s="66">
        <f t="shared" ref="G195:G196" si="133">41/60</f>
        <v>0.6833333333</v>
      </c>
      <c r="H195" s="80">
        <f t="shared" ref="H195:AJ195" si="132">G195+1/3</f>
        <v>1.016666667</v>
      </c>
      <c r="I195" s="80">
        <f t="shared" si="132"/>
        <v>1.35</v>
      </c>
      <c r="J195" s="80">
        <f t="shared" si="132"/>
        <v>1.683333333</v>
      </c>
      <c r="K195" s="80">
        <f t="shared" si="132"/>
        <v>2.016666667</v>
      </c>
      <c r="L195" s="80">
        <f t="shared" si="132"/>
        <v>2.35</v>
      </c>
      <c r="M195" s="80">
        <f t="shared" si="132"/>
        <v>2.683333333</v>
      </c>
      <c r="N195" s="80">
        <f t="shared" si="132"/>
        <v>3.016666667</v>
      </c>
      <c r="O195" s="80">
        <f t="shared" si="132"/>
        <v>3.35</v>
      </c>
      <c r="P195" s="80">
        <f t="shared" si="132"/>
        <v>3.683333333</v>
      </c>
      <c r="Q195" s="80">
        <f t="shared" si="132"/>
        <v>4.016666667</v>
      </c>
      <c r="R195" s="80">
        <f t="shared" si="132"/>
        <v>4.35</v>
      </c>
      <c r="S195" s="80">
        <f t="shared" si="132"/>
        <v>4.683333333</v>
      </c>
      <c r="T195" s="80">
        <f t="shared" si="132"/>
        <v>5.016666667</v>
      </c>
      <c r="U195" s="80">
        <f t="shared" si="132"/>
        <v>5.35</v>
      </c>
      <c r="V195" s="80">
        <f t="shared" si="132"/>
        <v>5.683333333</v>
      </c>
      <c r="W195" s="80">
        <f t="shared" si="132"/>
        <v>6.016666667</v>
      </c>
      <c r="X195" s="80">
        <f t="shared" si="132"/>
        <v>6.35</v>
      </c>
      <c r="Y195" s="80">
        <f t="shared" si="132"/>
        <v>6.683333333</v>
      </c>
      <c r="Z195" s="80">
        <f t="shared" si="132"/>
        <v>7.016666667</v>
      </c>
      <c r="AA195" s="80">
        <f t="shared" si="132"/>
        <v>7.35</v>
      </c>
      <c r="AB195" s="80">
        <f t="shared" si="132"/>
        <v>7.683333333</v>
      </c>
      <c r="AC195" s="80">
        <f t="shared" si="132"/>
        <v>8.016666667</v>
      </c>
      <c r="AD195" s="80">
        <f t="shared" si="132"/>
        <v>8.35</v>
      </c>
      <c r="AE195" s="80">
        <f t="shared" si="132"/>
        <v>8.683333333</v>
      </c>
      <c r="AF195" s="80">
        <f t="shared" si="132"/>
        <v>9.016666667</v>
      </c>
      <c r="AG195" s="80">
        <f t="shared" si="132"/>
        <v>9.35</v>
      </c>
      <c r="AH195" s="80">
        <f t="shared" si="132"/>
        <v>9.683333333</v>
      </c>
      <c r="AI195" s="80">
        <f t="shared" si="132"/>
        <v>10.01666667</v>
      </c>
      <c r="AJ195" s="80">
        <f t="shared" si="132"/>
        <v>10.35</v>
      </c>
      <c r="AK195" s="8"/>
      <c r="AL195" s="8"/>
      <c r="AM195" s="8"/>
      <c r="AN195" s="8"/>
      <c r="AO195" s="8"/>
      <c r="AP195" s="8"/>
      <c r="AQ195" s="8"/>
    </row>
    <row r="196">
      <c r="A196" s="8"/>
      <c r="B196" s="8"/>
      <c r="C196" s="8" t="s">
        <v>116</v>
      </c>
      <c r="D196" s="8" t="s">
        <v>228</v>
      </c>
      <c r="E196" s="8" t="s">
        <v>118</v>
      </c>
      <c r="F196" s="55" t="s">
        <v>139</v>
      </c>
      <c r="G196" s="66">
        <f t="shared" si="133"/>
        <v>0.6833333333</v>
      </c>
      <c r="H196" s="80">
        <f t="shared" ref="H196:AJ196" si="134">G196+1/3</f>
        <v>1.016666667</v>
      </c>
      <c r="I196" s="80">
        <f t="shared" si="134"/>
        <v>1.35</v>
      </c>
      <c r="J196" s="80">
        <f t="shared" si="134"/>
        <v>1.683333333</v>
      </c>
      <c r="K196" s="80">
        <f t="shared" si="134"/>
        <v>2.016666667</v>
      </c>
      <c r="L196" s="80">
        <f t="shared" si="134"/>
        <v>2.35</v>
      </c>
      <c r="M196" s="80">
        <f t="shared" si="134"/>
        <v>2.683333333</v>
      </c>
      <c r="N196" s="80">
        <f t="shared" si="134"/>
        <v>3.016666667</v>
      </c>
      <c r="O196" s="80">
        <f t="shared" si="134"/>
        <v>3.35</v>
      </c>
      <c r="P196" s="80">
        <f t="shared" si="134"/>
        <v>3.683333333</v>
      </c>
      <c r="Q196" s="80">
        <f t="shared" si="134"/>
        <v>4.016666667</v>
      </c>
      <c r="R196" s="80">
        <f t="shared" si="134"/>
        <v>4.35</v>
      </c>
      <c r="S196" s="80">
        <f t="shared" si="134"/>
        <v>4.683333333</v>
      </c>
      <c r="T196" s="80">
        <f t="shared" si="134"/>
        <v>5.016666667</v>
      </c>
      <c r="U196" s="80">
        <f t="shared" si="134"/>
        <v>5.35</v>
      </c>
      <c r="V196" s="80">
        <f t="shared" si="134"/>
        <v>5.683333333</v>
      </c>
      <c r="W196" s="80">
        <f t="shared" si="134"/>
        <v>6.016666667</v>
      </c>
      <c r="X196" s="80">
        <f t="shared" si="134"/>
        <v>6.35</v>
      </c>
      <c r="Y196" s="80">
        <f t="shared" si="134"/>
        <v>6.683333333</v>
      </c>
      <c r="Z196" s="80">
        <f t="shared" si="134"/>
        <v>7.016666667</v>
      </c>
      <c r="AA196" s="80">
        <f t="shared" si="134"/>
        <v>7.35</v>
      </c>
      <c r="AB196" s="80">
        <f t="shared" si="134"/>
        <v>7.683333333</v>
      </c>
      <c r="AC196" s="80">
        <f t="shared" si="134"/>
        <v>8.016666667</v>
      </c>
      <c r="AD196" s="80">
        <f t="shared" si="134"/>
        <v>8.35</v>
      </c>
      <c r="AE196" s="80">
        <f t="shared" si="134"/>
        <v>8.683333333</v>
      </c>
      <c r="AF196" s="80">
        <f t="shared" si="134"/>
        <v>9.016666667</v>
      </c>
      <c r="AG196" s="80">
        <f t="shared" si="134"/>
        <v>9.35</v>
      </c>
      <c r="AH196" s="80">
        <f t="shared" si="134"/>
        <v>9.683333333</v>
      </c>
      <c r="AI196" s="80">
        <f t="shared" si="134"/>
        <v>10.01666667</v>
      </c>
      <c r="AJ196" s="80">
        <f t="shared" si="134"/>
        <v>10.35</v>
      </c>
      <c r="AK196" s="8"/>
      <c r="AL196" s="8"/>
      <c r="AM196" s="8"/>
      <c r="AN196" s="8"/>
      <c r="AO196" s="8"/>
      <c r="AP196" s="8"/>
      <c r="AQ196" s="8"/>
    </row>
    <row r="197">
      <c r="A197" s="8"/>
      <c r="B197" s="8"/>
      <c r="C197" s="8" t="s">
        <v>116</v>
      </c>
      <c r="D197" s="8" t="s">
        <v>229</v>
      </c>
      <c r="E197" s="8" t="s">
        <v>118</v>
      </c>
      <c r="F197" s="55" t="s">
        <v>139</v>
      </c>
      <c r="G197" s="66">
        <f>38/60</f>
        <v>0.6333333333</v>
      </c>
      <c r="H197" s="80">
        <f t="shared" ref="H197:AJ197" si="135">G197+1/3</f>
        <v>0.9666666667</v>
      </c>
      <c r="I197" s="80">
        <f t="shared" si="135"/>
        <v>1.3</v>
      </c>
      <c r="J197" s="80">
        <f t="shared" si="135"/>
        <v>1.633333333</v>
      </c>
      <c r="K197" s="80">
        <f t="shared" si="135"/>
        <v>1.966666667</v>
      </c>
      <c r="L197" s="80">
        <f t="shared" si="135"/>
        <v>2.3</v>
      </c>
      <c r="M197" s="80">
        <f t="shared" si="135"/>
        <v>2.633333333</v>
      </c>
      <c r="N197" s="80">
        <f t="shared" si="135"/>
        <v>2.966666667</v>
      </c>
      <c r="O197" s="80">
        <f t="shared" si="135"/>
        <v>3.3</v>
      </c>
      <c r="P197" s="80">
        <f t="shared" si="135"/>
        <v>3.633333333</v>
      </c>
      <c r="Q197" s="80">
        <f t="shared" si="135"/>
        <v>3.966666667</v>
      </c>
      <c r="R197" s="80">
        <f t="shared" si="135"/>
        <v>4.3</v>
      </c>
      <c r="S197" s="80">
        <f t="shared" si="135"/>
        <v>4.633333333</v>
      </c>
      <c r="T197" s="80">
        <f t="shared" si="135"/>
        <v>4.966666667</v>
      </c>
      <c r="U197" s="80">
        <f t="shared" si="135"/>
        <v>5.3</v>
      </c>
      <c r="V197" s="80">
        <f t="shared" si="135"/>
        <v>5.633333333</v>
      </c>
      <c r="W197" s="80">
        <f t="shared" si="135"/>
        <v>5.966666667</v>
      </c>
      <c r="X197" s="80">
        <f t="shared" si="135"/>
        <v>6.3</v>
      </c>
      <c r="Y197" s="80">
        <f t="shared" si="135"/>
        <v>6.633333333</v>
      </c>
      <c r="Z197" s="80">
        <f t="shared" si="135"/>
        <v>6.966666667</v>
      </c>
      <c r="AA197" s="80">
        <f t="shared" si="135"/>
        <v>7.3</v>
      </c>
      <c r="AB197" s="80">
        <f t="shared" si="135"/>
        <v>7.633333333</v>
      </c>
      <c r="AC197" s="80">
        <f t="shared" si="135"/>
        <v>7.966666667</v>
      </c>
      <c r="AD197" s="80">
        <f t="shared" si="135"/>
        <v>8.3</v>
      </c>
      <c r="AE197" s="80">
        <f t="shared" si="135"/>
        <v>8.633333333</v>
      </c>
      <c r="AF197" s="80">
        <f t="shared" si="135"/>
        <v>8.966666667</v>
      </c>
      <c r="AG197" s="80">
        <f t="shared" si="135"/>
        <v>9.3</v>
      </c>
      <c r="AH197" s="80">
        <f t="shared" si="135"/>
        <v>9.633333333</v>
      </c>
      <c r="AI197" s="80">
        <f t="shared" si="135"/>
        <v>9.966666667</v>
      </c>
      <c r="AJ197" s="80">
        <f t="shared" si="135"/>
        <v>10.3</v>
      </c>
      <c r="AK197" s="8"/>
      <c r="AL197" s="8"/>
      <c r="AM197" s="8"/>
      <c r="AN197" s="8"/>
      <c r="AO197" s="8"/>
      <c r="AP197" s="8"/>
      <c r="AQ197" s="8"/>
    </row>
    <row r="198">
      <c r="A198" s="8"/>
      <c r="B198" s="8"/>
      <c r="C198" s="8" t="s">
        <v>116</v>
      </c>
      <c r="D198" s="8" t="s">
        <v>230</v>
      </c>
      <c r="E198" s="8" t="s">
        <v>118</v>
      </c>
      <c r="F198" s="55" t="s">
        <v>139</v>
      </c>
      <c r="G198" s="66">
        <f>35/60</f>
        <v>0.5833333333</v>
      </c>
      <c r="H198" s="80">
        <f t="shared" ref="H198:AJ198" si="136">G198+1/3</f>
        <v>0.9166666667</v>
      </c>
      <c r="I198" s="80">
        <f t="shared" si="136"/>
        <v>1.25</v>
      </c>
      <c r="J198" s="80">
        <f t="shared" si="136"/>
        <v>1.583333333</v>
      </c>
      <c r="K198" s="80">
        <f t="shared" si="136"/>
        <v>1.916666667</v>
      </c>
      <c r="L198" s="80">
        <f t="shared" si="136"/>
        <v>2.25</v>
      </c>
      <c r="M198" s="80">
        <f t="shared" si="136"/>
        <v>2.583333333</v>
      </c>
      <c r="N198" s="80">
        <f t="shared" si="136"/>
        <v>2.916666667</v>
      </c>
      <c r="O198" s="80">
        <f t="shared" si="136"/>
        <v>3.25</v>
      </c>
      <c r="P198" s="80">
        <f t="shared" si="136"/>
        <v>3.583333333</v>
      </c>
      <c r="Q198" s="80">
        <f t="shared" si="136"/>
        <v>3.916666667</v>
      </c>
      <c r="R198" s="80">
        <f t="shared" si="136"/>
        <v>4.25</v>
      </c>
      <c r="S198" s="80">
        <f t="shared" si="136"/>
        <v>4.583333333</v>
      </c>
      <c r="T198" s="80">
        <f t="shared" si="136"/>
        <v>4.916666667</v>
      </c>
      <c r="U198" s="80">
        <f t="shared" si="136"/>
        <v>5.25</v>
      </c>
      <c r="V198" s="80">
        <f t="shared" si="136"/>
        <v>5.583333333</v>
      </c>
      <c r="W198" s="80">
        <f t="shared" si="136"/>
        <v>5.916666667</v>
      </c>
      <c r="X198" s="80">
        <f t="shared" si="136"/>
        <v>6.25</v>
      </c>
      <c r="Y198" s="80">
        <f t="shared" si="136"/>
        <v>6.583333333</v>
      </c>
      <c r="Z198" s="80">
        <f t="shared" si="136"/>
        <v>6.916666667</v>
      </c>
      <c r="AA198" s="80">
        <f t="shared" si="136"/>
        <v>7.25</v>
      </c>
      <c r="AB198" s="80">
        <f t="shared" si="136"/>
        <v>7.583333333</v>
      </c>
      <c r="AC198" s="80">
        <f t="shared" si="136"/>
        <v>7.916666667</v>
      </c>
      <c r="AD198" s="80">
        <f t="shared" si="136"/>
        <v>8.25</v>
      </c>
      <c r="AE198" s="80">
        <f t="shared" si="136"/>
        <v>8.583333333</v>
      </c>
      <c r="AF198" s="80">
        <f t="shared" si="136"/>
        <v>8.916666667</v>
      </c>
      <c r="AG198" s="80">
        <f t="shared" si="136"/>
        <v>9.25</v>
      </c>
      <c r="AH198" s="80">
        <f t="shared" si="136"/>
        <v>9.583333333</v>
      </c>
      <c r="AI198" s="80">
        <f t="shared" si="136"/>
        <v>9.916666667</v>
      </c>
      <c r="AJ198" s="80">
        <f t="shared" si="136"/>
        <v>10.25</v>
      </c>
      <c r="AK198" s="8"/>
      <c r="AL198" s="8"/>
      <c r="AM198" s="8"/>
      <c r="AN198" s="8"/>
      <c r="AO198" s="8"/>
      <c r="AP198" s="8"/>
      <c r="AQ198" s="8"/>
    </row>
    <row r="199">
      <c r="A199" s="8"/>
      <c r="B199" s="8"/>
      <c r="C199" s="8" t="s">
        <v>116</v>
      </c>
      <c r="D199" s="8" t="s">
        <v>231</v>
      </c>
      <c r="E199" s="8" t="s">
        <v>118</v>
      </c>
      <c r="F199" s="55" t="s">
        <v>139</v>
      </c>
      <c r="G199" s="66">
        <f>32/60</f>
        <v>0.5333333333</v>
      </c>
      <c r="H199" s="80">
        <f t="shared" ref="H199:AJ199" si="137">G199+1/3</f>
        <v>0.8666666667</v>
      </c>
      <c r="I199" s="80">
        <f t="shared" si="137"/>
        <v>1.2</v>
      </c>
      <c r="J199" s="80">
        <f t="shared" si="137"/>
        <v>1.533333333</v>
      </c>
      <c r="K199" s="80">
        <f t="shared" si="137"/>
        <v>1.866666667</v>
      </c>
      <c r="L199" s="80">
        <f t="shared" si="137"/>
        <v>2.2</v>
      </c>
      <c r="M199" s="80">
        <f t="shared" si="137"/>
        <v>2.533333333</v>
      </c>
      <c r="N199" s="80">
        <f t="shared" si="137"/>
        <v>2.866666667</v>
      </c>
      <c r="O199" s="80">
        <f t="shared" si="137"/>
        <v>3.2</v>
      </c>
      <c r="P199" s="80">
        <f t="shared" si="137"/>
        <v>3.533333333</v>
      </c>
      <c r="Q199" s="80">
        <f t="shared" si="137"/>
        <v>3.866666667</v>
      </c>
      <c r="R199" s="80">
        <f t="shared" si="137"/>
        <v>4.2</v>
      </c>
      <c r="S199" s="80">
        <f t="shared" si="137"/>
        <v>4.533333333</v>
      </c>
      <c r="T199" s="80">
        <f t="shared" si="137"/>
        <v>4.866666667</v>
      </c>
      <c r="U199" s="80">
        <f t="shared" si="137"/>
        <v>5.2</v>
      </c>
      <c r="V199" s="80">
        <f t="shared" si="137"/>
        <v>5.533333333</v>
      </c>
      <c r="W199" s="80">
        <f t="shared" si="137"/>
        <v>5.866666667</v>
      </c>
      <c r="X199" s="80">
        <f t="shared" si="137"/>
        <v>6.2</v>
      </c>
      <c r="Y199" s="80">
        <f t="shared" si="137"/>
        <v>6.533333333</v>
      </c>
      <c r="Z199" s="80">
        <f t="shared" si="137"/>
        <v>6.866666667</v>
      </c>
      <c r="AA199" s="80">
        <f t="shared" si="137"/>
        <v>7.2</v>
      </c>
      <c r="AB199" s="80">
        <f t="shared" si="137"/>
        <v>7.533333333</v>
      </c>
      <c r="AC199" s="80">
        <f t="shared" si="137"/>
        <v>7.866666667</v>
      </c>
      <c r="AD199" s="80">
        <f t="shared" si="137"/>
        <v>8.2</v>
      </c>
      <c r="AE199" s="80">
        <f t="shared" si="137"/>
        <v>8.533333333</v>
      </c>
      <c r="AF199" s="80">
        <f t="shared" si="137"/>
        <v>8.866666667</v>
      </c>
      <c r="AG199" s="80">
        <f t="shared" si="137"/>
        <v>9.2</v>
      </c>
      <c r="AH199" s="80">
        <f t="shared" si="137"/>
        <v>9.533333333</v>
      </c>
      <c r="AI199" s="80">
        <f t="shared" si="137"/>
        <v>9.866666667</v>
      </c>
      <c r="AJ199" s="80">
        <f t="shared" si="137"/>
        <v>10.2</v>
      </c>
      <c r="AK199" s="8"/>
      <c r="AL199" s="8"/>
      <c r="AM199" s="8"/>
      <c r="AN199" s="8"/>
      <c r="AO199" s="8"/>
      <c r="AP199" s="8"/>
      <c r="AQ199" s="8"/>
    </row>
    <row r="200">
      <c r="A200" s="8"/>
      <c r="B200" s="8"/>
      <c r="C200" s="8" t="s">
        <v>116</v>
      </c>
      <c r="D200" s="8" t="s">
        <v>232</v>
      </c>
      <c r="E200" s="8" t="s">
        <v>118</v>
      </c>
      <c r="F200" s="55" t="s">
        <v>139</v>
      </c>
      <c r="G200" s="66">
        <f>29/60</f>
        <v>0.4833333333</v>
      </c>
      <c r="H200" s="80">
        <f t="shared" ref="H200:AJ200" si="138">G200+1/3</f>
        <v>0.8166666667</v>
      </c>
      <c r="I200" s="80">
        <f t="shared" si="138"/>
        <v>1.15</v>
      </c>
      <c r="J200" s="80">
        <f t="shared" si="138"/>
        <v>1.483333333</v>
      </c>
      <c r="K200" s="80">
        <f t="shared" si="138"/>
        <v>1.816666667</v>
      </c>
      <c r="L200" s="80">
        <f t="shared" si="138"/>
        <v>2.15</v>
      </c>
      <c r="M200" s="80">
        <f t="shared" si="138"/>
        <v>2.483333333</v>
      </c>
      <c r="N200" s="80">
        <f t="shared" si="138"/>
        <v>2.816666667</v>
      </c>
      <c r="O200" s="80">
        <f t="shared" si="138"/>
        <v>3.15</v>
      </c>
      <c r="P200" s="80">
        <f t="shared" si="138"/>
        <v>3.483333333</v>
      </c>
      <c r="Q200" s="80">
        <f t="shared" si="138"/>
        <v>3.816666667</v>
      </c>
      <c r="R200" s="80">
        <f t="shared" si="138"/>
        <v>4.15</v>
      </c>
      <c r="S200" s="80">
        <f t="shared" si="138"/>
        <v>4.483333333</v>
      </c>
      <c r="T200" s="80">
        <f t="shared" si="138"/>
        <v>4.816666667</v>
      </c>
      <c r="U200" s="80">
        <f t="shared" si="138"/>
        <v>5.15</v>
      </c>
      <c r="V200" s="80">
        <f t="shared" si="138"/>
        <v>5.483333333</v>
      </c>
      <c r="W200" s="80">
        <f t="shared" si="138"/>
        <v>5.816666667</v>
      </c>
      <c r="X200" s="80">
        <f t="shared" si="138"/>
        <v>6.15</v>
      </c>
      <c r="Y200" s="80">
        <f t="shared" si="138"/>
        <v>6.483333333</v>
      </c>
      <c r="Z200" s="80">
        <f t="shared" si="138"/>
        <v>6.816666667</v>
      </c>
      <c r="AA200" s="80">
        <f t="shared" si="138"/>
        <v>7.15</v>
      </c>
      <c r="AB200" s="80">
        <f t="shared" si="138"/>
        <v>7.483333333</v>
      </c>
      <c r="AC200" s="80">
        <f t="shared" si="138"/>
        <v>7.816666667</v>
      </c>
      <c r="AD200" s="80">
        <f t="shared" si="138"/>
        <v>8.15</v>
      </c>
      <c r="AE200" s="80">
        <f t="shared" si="138"/>
        <v>8.483333333</v>
      </c>
      <c r="AF200" s="80">
        <f t="shared" si="138"/>
        <v>8.816666667</v>
      </c>
      <c r="AG200" s="80">
        <f t="shared" si="138"/>
        <v>9.15</v>
      </c>
      <c r="AH200" s="80">
        <f t="shared" si="138"/>
        <v>9.483333333</v>
      </c>
      <c r="AI200" s="80">
        <f t="shared" si="138"/>
        <v>9.816666667</v>
      </c>
      <c r="AJ200" s="80">
        <f t="shared" si="138"/>
        <v>10.15</v>
      </c>
      <c r="AK200" s="8"/>
      <c r="AL200" s="8"/>
      <c r="AM200" s="8"/>
      <c r="AN200" s="8"/>
      <c r="AO200" s="8"/>
      <c r="AP200" s="8"/>
      <c r="AQ200" s="8"/>
    </row>
    <row r="201">
      <c r="A201" s="8"/>
      <c r="B201" s="8"/>
      <c r="C201" s="8" t="s">
        <v>116</v>
      </c>
      <c r="D201" s="8" t="s">
        <v>233</v>
      </c>
      <c r="E201" s="8" t="s">
        <v>118</v>
      </c>
      <c r="F201" s="55" t="s">
        <v>139</v>
      </c>
      <c r="G201" s="66">
        <f>26/60</f>
        <v>0.4333333333</v>
      </c>
      <c r="H201" s="80">
        <f t="shared" ref="H201:AJ201" si="139">G201+1/3</f>
        <v>0.7666666667</v>
      </c>
      <c r="I201" s="80">
        <f t="shared" si="139"/>
        <v>1.1</v>
      </c>
      <c r="J201" s="80">
        <f t="shared" si="139"/>
        <v>1.433333333</v>
      </c>
      <c r="K201" s="80">
        <f t="shared" si="139"/>
        <v>1.766666667</v>
      </c>
      <c r="L201" s="80">
        <f t="shared" si="139"/>
        <v>2.1</v>
      </c>
      <c r="M201" s="80">
        <f t="shared" si="139"/>
        <v>2.433333333</v>
      </c>
      <c r="N201" s="80">
        <f t="shared" si="139"/>
        <v>2.766666667</v>
      </c>
      <c r="O201" s="80">
        <f t="shared" si="139"/>
        <v>3.1</v>
      </c>
      <c r="P201" s="80">
        <f t="shared" si="139"/>
        <v>3.433333333</v>
      </c>
      <c r="Q201" s="80">
        <f t="shared" si="139"/>
        <v>3.766666667</v>
      </c>
      <c r="R201" s="80">
        <f t="shared" si="139"/>
        <v>4.1</v>
      </c>
      <c r="S201" s="80">
        <f t="shared" si="139"/>
        <v>4.433333333</v>
      </c>
      <c r="T201" s="80">
        <f t="shared" si="139"/>
        <v>4.766666667</v>
      </c>
      <c r="U201" s="80">
        <f t="shared" si="139"/>
        <v>5.1</v>
      </c>
      <c r="V201" s="80">
        <f t="shared" si="139"/>
        <v>5.433333333</v>
      </c>
      <c r="W201" s="80">
        <f t="shared" si="139"/>
        <v>5.766666667</v>
      </c>
      <c r="X201" s="80">
        <f t="shared" si="139"/>
        <v>6.1</v>
      </c>
      <c r="Y201" s="80">
        <f t="shared" si="139"/>
        <v>6.433333333</v>
      </c>
      <c r="Z201" s="80">
        <f t="shared" si="139"/>
        <v>6.766666667</v>
      </c>
      <c r="AA201" s="80">
        <f t="shared" si="139"/>
        <v>7.1</v>
      </c>
      <c r="AB201" s="80">
        <f t="shared" si="139"/>
        <v>7.433333333</v>
      </c>
      <c r="AC201" s="80">
        <f t="shared" si="139"/>
        <v>7.766666667</v>
      </c>
      <c r="AD201" s="80">
        <f t="shared" si="139"/>
        <v>8.1</v>
      </c>
      <c r="AE201" s="80">
        <f t="shared" si="139"/>
        <v>8.433333333</v>
      </c>
      <c r="AF201" s="80">
        <f t="shared" si="139"/>
        <v>8.766666667</v>
      </c>
      <c r="AG201" s="80">
        <f t="shared" si="139"/>
        <v>9.1</v>
      </c>
      <c r="AH201" s="80">
        <f t="shared" si="139"/>
        <v>9.433333333</v>
      </c>
      <c r="AI201" s="80">
        <f t="shared" si="139"/>
        <v>9.766666667</v>
      </c>
      <c r="AJ201" s="80">
        <f t="shared" si="139"/>
        <v>10.1</v>
      </c>
      <c r="AK201" s="8"/>
      <c r="AL201" s="8"/>
      <c r="AM201" s="8"/>
      <c r="AN201" s="8"/>
      <c r="AO201" s="8"/>
      <c r="AP201" s="8"/>
      <c r="AQ201" s="8"/>
    </row>
    <row r="202">
      <c r="A202" s="8"/>
      <c r="B202" s="8"/>
      <c r="C202" s="8" t="s">
        <v>116</v>
      </c>
      <c r="D202" s="8" t="s">
        <v>217</v>
      </c>
      <c r="E202" s="8" t="s">
        <v>118</v>
      </c>
      <c r="F202" s="55" t="s">
        <v>139</v>
      </c>
      <c r="G202" s="66">
        <f>23/60</f>
        <v>0.3833333333</v>
      </c>
      <c r="H202" s="80">
        <f t="shared" ref="H202:AJ202" si="140">G202+1/3</f>
        <v>0.7166666667</v>
      </c>
      <c r="I202" s="80">
        <f t="shared" si="140"/>
        <v>1.05</v>
      </c>
      <c r="J202" s="80">
        <f t="shared" si="140"/>
        <v>1.383333333</v>
      </c>
      <c r="K202" s="80">
        <f t="shared" si="140"/>
        <v>1.716666667</v>
      </c>
      <c r="L202" s="80">
        <f t="shared" si="140"/>
        <v>2.05</v>
      </c>
      <c r="M202" s="80">
        <f t="shared" si="140"/>
        <v>2.383333333</v>
      </c>
      <c r="N202" s="80">
        <f t="shared" si="140"/>
        <v>2.716666667</v>
      </c>
      <c r="O202" s="80">
        <f t="shared" si="140"/>
        <v>3.05</v>
      </c>
      <c r="P202" s="80">
        <f t="shared" si="140"/>
        <v>3.383333333</v>
      </c>
      <c r="Q202" s="80">
        <f t="shared" si="140"/>
        <v>3.716666667</v>
      </c>
      <c r="R202" s="80">
        <f t="shared" si="140"/>
        <v>4.05</v>
      </c>
      <c r="S202" s="80">
        <f t="shared" si="140"/>
        <v>4.383333333</v>
      </c>
      <c r="T202" s="80">
        <f t="shared" si="140"/>
        <v>4.716666667</v>
      </c>
      <c r="U202" s="80">
        <f t="shared" si="140"/>
        <v>5.05</v>
      </c>
      <c r="V202" s="80">
        <f t="shared" si="140"/>
        <v>5.383333333</v>
      </c>
      <c r="W202" s="80">
        <f t="shared" si="140"/>
        <v>5.716666667</v>
      </c>
      <c r="X202" s="80">
        <f t="shared" si="140"/>
        <v>6.05</v>
      </c>
      <c r="Y202" s="80">
        <f t="shared" si="140"/>
        <v>6.383333333</v>
      </c>
      <c r="Z202" s="80">
        <f t="shared" si="140"/>
        <v>6.716666667</v>
      </c>
      <c r="AA202" s="80">
        <f t="shared" si="140"/>
        <v>7.05</v>
      </c>
      <c r="AB202" s="80">
        <f t="shared" si="140"/>
        <v>7.383333333</v>
      </c>
      <c r="AC202" s="80">
        <f t="shared" si="140"/>
        <v>7.716666667</v>
      </c>
      <c r="AD202" s="80">
        <f t="shared" si="140"/>
        <v>8.05</v>
      </c>
      <c r="AE202" s="80">
        <f t="shared" si="140"/>
        <v>8.383333333</v>
      </c>
      <c r="AF202" s="80">
        <f t="shared" si="140"/>
        <v>8.716666667</v>
      </c>
      <c r="AG202" s="80">
        <f t="shared" si="140"/>
        <v>9.05</v>
      </c>
      <c r="AH202" s="80">
        <f t="shared" si="140"/>
        <v>9.383333333</v>
      </c>
      <c r="AI202" s="80">
        <f t="shared" si="140"/>
        <v>9.716666667</v>
      </c>
      <c r="AJ202" s="80">
        <f t="shared" si="140"/>
        <v>10.05</v>
      </c>
      <c r="AK202" s="8"/>
      <c r="AL202" s="8"/>
      <c r="AM202" s="8"/>
      <c r="AN202" s="8"/>
      <c r="AO202" s="8"/>
      <c r="AP202" s="8"/>
      <c r="AQ202" s="8"/>
    </row>
    <row r="203">
      <c r="A203" s="8"/>
      <c r="B203" s="8"/>
      <c r="C203" s="8" t="s">
        <v>116</v>
      </c>
      <c r="D203" s="8" t="s">
        <v>234</v>
      </c>
      <c r="E203" s="8" t="s">
        <v>118</v>
      </c>
      <c r="F203" s="55" t="s">
        <v>139</v>
      </c>
      <c r="G203" s="66">
        <v>0.33</v>
      </c>
      <c r="H203" s="80">
        <f t="shared" ref="H203:AJ203" si="141">G203+1/3</f>
        <v>0.6633333333</v>
      </c>
      <c r="I203" s="80">
        <f t="shared" si="141"/>
        <v>0.9966666667</v>
      </c>
      <c r="J203" s="80">
        <f t="shared" si="141"/>
        <v>1.33</v>
      </c>
      <c r="K203" s="80">
        <f t="shared" si="141"/>
        <v>1.663333333</v>
      </c>
      <c r="L203" s="80">
        <f t="shared" si="141"/>
        <v>1.996666667</v>
      </c>
      <c r="M203" s="80">
        <f t="shared" si="141"/>
        <v>2.33</v>
      </c>
      <c r="N203" s="80">
        <f t="shared" si="141"/>
        <v>2.663333333</v>
      </c>
      <c r="O203" s="80">
        <f t="shared" si="141"/>
        <v>2.996666667</v>
      </c>
      <c r="P203" s="80">
        <f t="shared" si="141"/>
        <v>3.33</v>
      </c>
      <c r="Q203" s="80">
        <f t="shared" si="141"/>
        <v>3.663333333</v>
      </c>
      <c r="R203" s="80">
        <f t="shared" si="141"/>
        <v>3.996666667</v>
      </c>
      <c r="S203" s="80">
        <f t="shared" si="141"/>
        <v>4.33</v>
      </c>
      <c r="T203" s="80">
        <f t="shared" si="141"/>
        <v>4.663333333</v>
      </c>
      <c r="U203" s="80">
        <f t="shared" si="141"/>
        <v>4.996666667</v>
      </c>
      <c r="V203" s="80">
        <f t="shared" si="141"/>
        <v>5.33</v>
      </c>
      <c r="W203" s="80">
        <f t="shared" si="141"/>
        <v>5.663333333</v>
      </c>
      <c r="X203" s="80">
        <f t="shared" si="141"/>
        <v>5.996666667</v>
      </c>
      <c r="Y203" s="80">
        <f t="shared" si="141"/>
        <v>6.33</v>
      </c>
      <c r="Z203" s="80">
        <f t="shared" si="141"/>
        <v>6.663333333</v>
      </c>
      <c r="AA203" s="80">
        <f t="shared" si="141"/>
        <v>6.996666667</v>
      </c>
      <c r="AB203" s="80">
        <f t="shared" si="141"/>
        <v>7.33</v>
      </c>
      <c r="AC203" s="80">
        <f t="shared" si="141"/>
        <v>7.663333333</v>
      </c>
      <c r="AD203" s="80">
        <f t="shared" si="141"/>
        <v>7.996666667</v>
      </c>
      <c r="AE203" s="80">
        <f t="shared" si="141"/>
        <v>8.33</v>
      </c>
      <c r="AF203" s="80">
        <f t="shared" si="141"/>
        <v>8.663333333</v>
      </c>
      <c r="AG203" s="80">
        <f t="shared" si="141"/>
        <v>8.996666667</v>
      </c>
      <c r="AH203" s="80">
        <f t="shared" si="141"/>
        <v>9.33</v>
      </c>
      <c r="AI203" s="80">
        <f t="shared" si="141"/>
        <v>9.663333333</v>
      </c>
      <c r="AJ203" s="80">
        <f t="shared" si="141"/>
        <v>9.996666667</v>
      </c>
      <c r="AK203" s="8"/>
      <c r="AL203" s="8"/>
      <c r="AM203" s="8"/>
      <c r="AN203" s="8"/>
      <c r="AO203" s="8"/>
      <c r="AP203" s="8"/>
      <c r="AQ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</row>
    <row r="205">
      <c r="A205" s="8"/>
      <c r="B205" s="8" t="s">
        <v>88</v>
      </c>
      <c r="C205" s="8" t="s">
        <v>140</v>
      </c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</row>
    <row r="206">
      <c r="A206" s="67" t="s">
        <v>235</v>
      </c>
      <c r="B206" s="8" t="s">
        <v>219</v>
      </c>
      <c r="C206" s="68">
        <f t="shared" ref="C206:C214" si="143">G173/(G195*60)</f>
        <v>0.007914634146</v>
      </c>
      <c r="D206" s="8"/>
      <c r="E206" s="8"/>
      <c r="F206" s="8" t="s">
        <v>219</v>
      </c>
      <c r="G206" s="81">
        <v>36.0</v>
      </c>
      <c r="H206" s="81">
        <f t="shared" ref="H206:AJ206" si="142">G206+20</f>
        <v>56</v>
      </c>
      <c r="I206" s="81">
        <f t="shared" si="142"/>
        <v>76</v>
      </c>
      <c r="J206" s="81">
        <f t="shared" si="142"/>
        <v>96</v>
      </c>
      <c r="K206" s="81">
        <f t="shared" si="142"/>
        <v>116</v>
      </c>
      <c r="L206" s="81">
        <f t="shared" si="142"/>
        <v>136</v>
      </c>
      <c r="M206" s="81">
        <f t="shared" si="142"/>
        <v>156</v>
      </c>
      <c r="N206" s="81">
        <f t="shared" si="142"/>
        <v>176</v>
      </c>
      <c r="O206" s="81">
        <f t="shared" si="142"/>
        <v>196</v>
      </c>
      <c r="P206" s="81">
        <f t="shared" si="142"/>
        <v>216</v>
      </c>
      <c r="Q206" s="81">
        <f t="shared" si="142"/>
        <v>236</v>
      </c>
      <c r="R206" s="81">
        <f t="shared" si="142"/>
        <v>256</v>
      </c>
      <c r="S206" s="81">
        <f t="shared" si="142"/>
        <v>276</v>
      </c>
      <c r="T206" s="81">
        <f t="shared" si="142"/>
        <v>296</v>
      </c>
      <c r="U206" s="81">
        <f t="shared" si="142"/>
        <v>316</v>
      </c>
      <c r="V206" s="81">
        <f t="shared" si="142"/>
        <v>336</v>
      </c>
      <c r="W206" s="81">
        <f t="shared" si="142"/>
        <v>356</v>
      </c>
      <c r="X206" s="81">
        <f t="shared" si="142"/>
        <v>376</v>
      </c>
      <c r="Y206" s="81">
        <f t="shared" si="142"/>
        <v>396</v>
      </c>
      <c r="Z206" s="81">
        <f t="shared" si="142"/>
        <v>416</v>
      </c>
      <c r="AA206" s="81">
        <f t="shared" si="142"/>
        <v>436</v>
      </c>
      <c r="AB206" s="81">
        <f t="shared" si="142"/>
        <v>456</v>
      </c>
      <c r="AC206" s="81">
        <f t="shared" si="142"/>
        <v>476</v>
      </c>
      <c r="AD206" s="81">
        <f t="shared" si="142"/>
        <v>496</v>
      </c>
      <c r="AE206" s="81">
        <f t="shared" si="142"/>
        <v>516</v>
      </c>
      <c r="AF206" s="81">
        <f t="shared" si="142"/>
        <v>536</v>
      </c>
      <c r="AG206" s="81">
        <f t="shared" si="142"/>
        <v>556</v>
      </c>
      <c r="AH206" s="81">
        <f t="shared" si="142"/>
        <v>576</v>
      </c>
      <c r="AI206" s="81">
        <f t="shared" si="142"/>
        <v>596</v>
      </c>
      <c r="AJ206" s="81">
        <f t="shared" si="142"/>
        <v>616</v>
      </c>
      <c r="AK206" s="8"/>
      <c r="AL206" s="8"/>
      <c r="AM206" s="8"/>
      <c r="AN206" s="8"/>
      <c r="AO206" s="8"/>
      <c r="AP206" s="8"/>
      <c r="AQ206" s="8"/>
    </row>
    <row r="207">
      <c r="A207" s="8"/>
      <c r="B207" s="8" t="s">
        <v>220</v>
      </c>
      <c r="C207" s="68">
        <f t="shared" si="143"/>
        <v>0.007317073171</v>
      </c>
      <c r="D207" s="8"/>
      <c r="E207" s="8"/>
      <c r="F207" s="8" t="s">
        <v>220</v>
      </c>
      <c r="G207" s="81">
        <v>34.0</v>
      </c>
      <c r="H207" s="81">
        <f t="shared" ref="H207:AJ207" si="144">G207+20</f>
        <v>54</v>
      </c>
      <c r="I207" s="81">
        <f t="shared" si="144"/>
        <v>74</v>
      </c>
      <c r="J207" s="81">
        <f t="shared" si="144"/>
        <v>94</v>
      </c>
      <c r="K207" s="81">
        <f t="shared" si="144"/>
        <v>114</v>
      </c>
      <c r="L207" s="81">
        <f t="shared" si="144"/>
        <v>134</v>
      </c>
      <c r="M207" s="81">
        <f t="shared" si="144"/>
        <v>154</v>
      </c>
      <c r="N207" s="81">
        <f t="shared" si="144"/>
        <v>174</v>
      </c>
      <c r="O207" s="81">
        <f t="shared" si="144"/>
        <v>194</v>
      </c>
      <c r="P207" s="81">
        <f t="shared" si="144"/>
        <v>214</v>
      </c>
      <c r="Q207" s="81">
        <f t="shared" si="144"/>
        <v>234</v>
      </c>
      <c r="R207" s="81">
        <f t="shared" si="144"/>
        <v>254</v>
      </c>
      <c r="S207" s="81">
        <f t="shared" si="144"/>
        <v>274</v>
      </c>
      <c r="T207" s="81">
        <f t="shared" si="144"/>
        <v>294</v>
      </c>
      <c r="U207" s="81">
        <f t="shared" si="144"/>
        <v>314</v>
      </c>
      <c r="V207" s="81">
        <f t="shared" si="144"/>
        <v>334</v>
      </c>
      <c r="W207" s="81">
        <f t="shared" si="144"/>
        <v>354</v>
      </c>
      <c r="X207" s="81">
        <f t="shared" si="144"/>
        <v>374</v>
      </c>
      <c r="Y207" s="81">
        <f t="shared" si="144"/>
        <v>394</v>
      </c>
      <c r="Z207" s="81">
        <f t="shared" si="144"/>
        <v>414</v>
      </c>
      <c r="AA207" s="81">
        <f t="shared" si="144"/>
        <v>434</v>
      </c>
      <c r="AB207" s="81">
        <f t="shared" si="144"/>
        <v>454</v>
      </c>
      <c r="AC207" s="81">
        <f t="shared" si="144"/>
        <v>474</v>
      </c>
      <c r="AD207" s="81">
        <f t="shared" si="144"/>
        <v>494</v>
      </c>
      <c r="AE207" s="81">
        <f t="shared" si="144"/>
        <v>514</v>
      </c>
      <c r="AF207" s="81">
        <f t="shared" si="144"/>
        <v>534</v>
      </c>
      <c r="AG207" s="81">
        <f t="shared" si="144"/>
        <v>554</v>
      </c>
      <c r="AH207" s="81">
        <f t="shared" si="144"/>
        <v>574</v>
      </c>
      <c r="AI207" s="81">
        <f t="shared" si="144"/>
        <v>594</v>
      </c>
      <c r="AJ207" s="81">
        <f t="shared" si="144"/>
        <v>614</v>
      </c>
      <c r="AK207" s="8"/>
      <c r="AL207" s="8"/>
      <c r="AM207" s="8"/>
      <c r="AN207" s="8"/>
      <c r="AO207" s="8"/>
      <c r="AP207" s="8"/>
      <c r="AQ207" s="8"/>
    </row>
    <row r="208">
      <c r="A208" s="8"/>
      <c r="B208" s="8" t="s">
        <v>221</v>
      </c>
      <c r="C208" s="68">
        <f t="shared" si="143"/>
        <v>0.006518421053</v>
      </c>
      <c r="D208" s="8"/>
      <c r="E208" s="8"/>
      <c r="F208" s="8" t="s">
        <v>221</v>
      </c>
      <c r="G208" s="81">
        <v>32.0</v>
      </c>
      <c r="H208" s="81">
        <f t="shared" ref="H208:AJ208" si="145">G208+20</f>
        <v>52</v>
      </c>
      <c r="I208" s="81">
        <f t="shared" si="145"/>
        <v>72</v>
      </c>
      <c r="J208" s="81">
        <f t="shared" si="145"/>
        <v>92</v>
      </c>
      <c r="K208" s="81">
        <f t="shared" si="145"/>
        <v>112</v>
      </c>
      <c r="L208" s="81">
        <f t="shared" si="145"/>
        <v>132</v>
      </c>
      <c r="M208" s="81">
        <f t="shared" si="145"/>
        <v>152</v>
      </c>
      <c r="N208" s="81">
        <f t="shared" si="145"/>
        <v>172</v>
      </c>
      <c r="O208" s="81">
        <f t="shared" si="145"/>
        <v>192</v>
      </c>
      <c r="P208" s="81">
        <f t="shared" si="145"/>
        <v>212</v>
      </c>
      <c r="Q208" s="81">
        <f t="shared" si="145"/>
        <v>232</v>
      </c>
      <c r="R208" s="81">
        <f t="shared" si="145"/>
        <v>252</v>
      </c>
      <c r="S208" s="81">
        <f t="shared" si="145"/>
        <v>272</v>
      </c>
      <c r="T208" s="81">
        <f t="shared" si="145"/>
        <v>292</v>
      </c>
      <c r="U208" s="81">
        <f t="shared" si="145"/>
        <v>312</v>
      </c>
      <c r="V208" s="81">
        <f t="shared" si="145"/>
        <v>332</v>
      </c>
      <c r="W208" s="81">
        <f t="shared" si="145"/>
        <v>352</v>
      </c>
      <c r="X208" s="81">
        <f t="shared" si="145"/>
        <v>372</v>
      </c>
      <c r="Y208" s="81">
        <f t="shared" si="145"/>
        <v>392</v>
      </c>
      <c r="Z208" s="81">
        <f t="shared" si="145"/>
        <v>412</v>
      </c>
      <c r="AA208" s="81">
        <f t="shared" si="145"/>
        <v>432</v>
      </c>
      <c r="AB208" s="81">
        <f t="shared" si="145"/>
        <v>452</v>
      </c>
      <c r="AC208" s="81">
        <f t="shared" si="145"/>
        <v>472</v>
      </c>
      <c r="AD208" s="81">
        <f t="shared" si="145"/>
        <v>492</v>
      </c>
      <c r="AE208" s="81">
        <f t="shared" si="145"/>
        <v>512</v>
      </c>
      <c r="AF208" s="81">
        <f t="shared" si="145"/>
        <v>532</v>
      </c>
      <c r="AG208" s="81">
        <f t="shared" si="145"/>
        <v>552</v>
      </c>
      <c r="AH208" s="81">
        <f t="shared" si="145"/>
        <v>572</v>
      </c>
      <c r="AI208" s="81">
        <f t="shared" si="145"/>
        <v>592</v>
      </c>
      <c r="AJ208" s="81">
        <f t="shared" si="145"/>
        <v>612</v>
      </c>
      <c r="AK208" s="8"/>
      <c r="AL208" s="8"/>
      <c r="AM208" s="8"/>
      <c r="AN208" s="8"/>
      <c r="AO208" s="8"/>
      <c r="AP208" s="8"/>
      <c r="AQ208" s="8"/>
    </row>
    <row r="209">
      <c r="A209" s="8"/>
      <c r="B209" s="8" t="s">
        <v>236</v>
      </c>
      <c r="C209" s="68">
        <f t="shared" si="143"/>
        <v>0.006308571429</v>
      </c>
      <c r="D209" s="8"/>
      <c r="E209" s="8"/>
      <c r="F209" s="8" t="s">
        <v>236</v>
      </c>
      <c r="G209" s="81">
        <v>30.0</v>
      </c>
      <c r="H209" s="81">
        <f t="shared" ref="H209:AJ209" si="146">G209+20</f>
        <v>50</v>
      </c>
      <c r="I209" s="81">
        <f t="shared" si="146"/>
        <v>70</v>
      </c>
      <c r="J209" s="81">
        <f t="shared" si="146"/>
        <v>90</v>
      </c>
      <c r="K209" s="81">
        <f t="shared" si="146"/>
        <v>110</v>
      </c>
      <c r="L209" s="81">
        <f t="shared" si="146"/>
        <v>130</v>
      </c>
      <c r="M209" s="81">
        <f t="shared" si="146"/>
        <v>150</v>
      </c>
      <c r="N209" s="81">
        <f t="shared" si="146"/>
        <v>170</v>
      </c>
      <c r="O209" s="81">
        <f t="shared" si="146"/>
        <v>190</v>
      </c>
      <c r="P209" s="81">
        <f t="shared" si="146"/>
        <v>210</v>
      </c>
      <c r="Q209" s="81">
        <f t="shared" si="146"/>
        <v>230</v>
      </c>
      <c r="R209" s="81">
        <f t="shared" si="146"/>
        <v>250</v>
      </c>
      <c r="S209" s="81">
        <f t="shared" si="146"/>
        <v>270</v>
      </c>
      <c r="T209" s="81">
        <f t="shared" si="146"/>
        <v>290</v>
      </c>
      <c r="U209" s="81">
        <f t="shared" si="146"/>
        <v>310</v>
      </c>
      <c r="V209" s="81">
        <f t="shared" si="146"/>
        <v>330</v>
      </c>
      <c r="W209" s="81">
        <f t="shared" si="146"/>
        <v>350</v>
      </c>
      <c r="X209" s="81">
        <f t="shared" si="146"/>
        <v>370</v>
      </c>
      <c r="Y209" s="81">
        <f t="shared" si="146"/>
        <v>390</v>
      </c>
      <c r="Z209" s="81">
        <f t="shared" si="146"/>
        <v>410</v>
      </c>
      <c r="AA209" s="81">
        <f t="shared" si="146"/>
        <v>430</v>
      </c>
      <c r="AB209" s="81">
        <f t="shared" si="146"/>
        <v>450</v>
      </c>
      <c r="AC209" s="81">
        <f t="shared" si="146"/>
        <v>470</v>
      </c>
      <c r="AD209" s="81">
        <f t="shared" si="146"/>
        <v>490</v>
      </c>
      <c r="AE209" s="81">
        <f t="shared" si="146"/>
        <v>510</v>
      </c>
      <c r="AF209" s="81">
        <f t="shared" si="146"/>
        <v>530</v>
      </c>
      <c r="AG209" s="81">
        <f t="shared" si="146"/>
        <v>550</v>
      </c>
      <c r="AH209" s="81">
        <f t="shared" si="146"/>
        <v>570</v>
      </c>
      <c r="AI209" s="81">
        <f t="shared" si="146"/>
        <v>590</v>
      </c>
      <c r="AJ209" s="81">
        <f t="shared" si="146"/>
        <v>610</v>
      </c>
      <c r="AK209" s="8"/>
      <c r="AL209" s="8"/>
      <c r="AM209" s="8"/>
      <c r="AN209" s="8"/>
      <c r="AO209" s="8"/>
      <c r="AP209" s="8"/>
      <c r="AQ209" s="8"/>
    </row>
    <row r="210">
      <c r="A210" s="8"/>
      <c r="B210" s="8" t="s">
        <v>237</v>
      </c>
      <c r="C210" s="68">
        <f t="shared" si="143"/>
        <v>0.00543125</v>
      </c>
      <c r="D210" s="8"/>
      <c r="E210" s="8"/>
      <c r="F210" s="8" t="s">
        <v>237</v>
      </c>
      <c r="G210" s="81">
        <v>28.0</v>
      </c>
      <c r="H210" s="81">
        <f t="shared" ref="H210:AJ210" si="147">G210+20</f>
        <v>48</v>
      </c>
      <c r="I210" s="81">
        <f t="shared" si="147"/>
        <v>68</v>
      </c>
      <c r="J210" s="81">
        <f t="shared" si="147"/>
        <v>88</v>
      </c>
      <c r="K210" s="81">
        <f t="shared" si="147"/>
        <v>108</v>
      </c>
      <c r="L210" s="81">
        <f t="shared" si="147"/>
        <v>128</v>
      </c>
      <c r="M210" s="81">
        <f t="shared" si="147"/>
        <v>148</v>
      </c>
      <c r="N210" s="81">
        <f t="shared" si="147"/>
        <v>168</v>
      </c>
      <c r="O210" s="81">
        <f t="shared" si="147"/>
        <v>188</v>
      </c>
      <c r="P210" s="81">
        <f t="shared" si="147"/>
        <v>208</v>
      </c>
      <c r="Q210" s="81">
        <f t="shared" si="147"/>
        <v>228</v>
      </c>
      <c r="R210" s="81">
        <f t="shared" si="147"/>
        <v>248</v>
      </c>
      <c r="S210" s="81">
        <f t="shared" si="147"/>
        <v>268</v>
      </c>
      <c r="T210" s="81">
        <f t="shared" si="147"/>
        <v>288</v>
      </c>
      <c r="U210" s="81">
        <f t="shared" si="147"/>
        <v>308</v>
      </c>
      <c r="V210" s="81">
        <f t="shared" si="147"/>
        <v>328</v>
      </c>
      <c r="W210" s="81">
        <f t="shared" si="147"/>
        <v>348</v>
      </c>
      <c r="X210" s="81">
        <f t="shared" si="147"/>
        <v>368</v>
      </c>
      <c r="Y210" s="81">
        <f t="shared" si="147"/>
        <v>388</v>
      </c>
      <c r="Z210" s="81">
        <f t="shared" si="147"/>
        <v>408</v>
      </c>
      <c r="AA210" s="81">
        <f t="shared" si="147"/>
        <v>428</v>
      </c>
      <c r="AB210" s="81">
        <f t="shared" si="147"/>
        <v>448</v>
      </c>
      <c r="AC210" s="81">
        <f t="shared" si="147"/>
        <v>468</v>
      </c>
      <c r="AD210" s="81">
        <f t="shared" si="147"/>
        <v>488</v>
      </c>
      <c r="AE210" s="81">
        <f t="shared" si="147"/>
        <v>508</v>
      </c>
      <c r="AF210" s="81">
        <f t="shared" si="147"/>
        <v>528</v>
      </c>
      <c r="AG210" s="81">
        <f t="shared" si="147"/>
        <v>548</v>
      </c>
      <c r="AH210" s="81">
        <f t="shared" si="147"/>
        <v>568</v>
      </c>
      <c r="AI210" s="81">
        <f t="shared" si="147"/>
        <v>588</v>
      </c>
      <c r="AJ210" s="81">
        <f t="shared" si="147"/>
        <v>608</v>
      </c>
      <c r="AK210" s="8"/>
      <c r="AL210" s="8"/>
      <c r="AM210" s="8"/>
      <c r="AN210" s="8"/>
      <c r="AO210" s="8"/>
      <c r="AP210" s="8"/>
      <c r="AQ210" s="8"/>
    </row>
    <row r="211">
      <c r="A211" s="8"/>
      <c r="B211" s="8" t="s">
        <v>232</v>
      </c>
      <c r="C211" s="68">
        <f t="shared" si="143"/>
        <v>0.005065517241</v>
      </c>
      <c r="D211" s="8"/>
      <c r="E211" s="8"/>
      <c r="F211" s="8" t="s">
        <v>238</v>
      </c>
      <c r="G211" s="81">
        <v>26.0</v>
      </c>
      <c r="H211" s="81">
        <f t="shared" ref="H211:AJ211" si="148">G211+20</f>
        <v>46</v>
      </c>
      <c r="I211" s="81">
        <f t="shared" si="148"/>
        <v>66</v>
      </c>
      <c r="J211" s="81">
        <f t="shared" si="148"/>
        <v>86</v>
      </c>
      <c r="K211" s="81">
        <f t="shared" si="148"/>
        <v>106</v>
      </c>
      <c r="L211" s="81">
        <f t="shared" si="148"/>
        <v>126</v>
      </c>
      <c r="M211" s="81">
        <f t="shared" si="148"/>
        <v>146</v>
      </c>
      <c r="N211" s="81">
        <f t="shared" si="148"/>
        <v>166</v>
      </c>
      <c r="O211" s="81">
        <f t="shared" si="148"/>
        <v>186</v>
      </c>
      <c r="P211" s="81">
        <f t="shared" si="148"/>
        <v>206</v>
      </c>
      <c r="Q211" s="81">
        <f t="shared" si="148"/>
        <v>226</v>
      </c>
      <c r="R211" s="81">
        <f t="shared" si="148"/>
        <v>246</v>
      </c>
      <c r="S211" s="81">
        <f t="shared" si="148"/>
        <v>266</v>
      </c>
      <c r="T211" s="81">
        <f t="shared" si="148"/>
        <v>286</v>
      </c>
      <c r="U211" s="81">
        <f t="shared" si="148"/>
        <v>306</v>
      </c>
      <c r="V211" s="81">
        <f t="shared" si="148"/>
        <v>326</v>
      </c>
      <c r="W211" s="81">
        <f t="shared" si="148"/>
        <v>346</v>
      </c>
      <c r="X211" s="81">
        <f t="shared" si="148"/>
        <v>366</v>
      </c>
      <c r="Y211" s="81">
        <f t="shared" si="148"/>
        <v>386</v>
      </c>
      <c r="Z211" s="81">
        <f t="shared" si="148"/>
        <v>406</v>
      </c>
      <c r="AA211" s="81">
        <f t="shared" si="148"/>
        <v>426</v>
      </c>
      <c r="AB211" s="81">
        <f t="shared" si="148"/>
        <v>446</v>
      </c>
      <c r="AC211" s="81">
        <f t="shared" si="148"/>
        <v>466</v>
      </c>
      <c r="AD211" s="81">
        <f t="shared" si="148"/>
        <v>486</v>
      </c>
      <c r="AE211" s="81">
        <f t="shared" si="148"/>
        <v>506</v>
      </c>
      <c r="AF211" s="81">
        <f t="shared" si="148"/>
        <v>526</v>
      </c>
      <c r="AG211" s="81">
        <f t="shared" si="148"/>
        <v>546</v>
      </c>
      <c r="AH211" s="81">
        <f t="shared" si="148"/>
        <v>566</v>
      </c>
      <c r="AI211" s="81">
        <f t="shared" si="148"/>
        <v>586</v>
      </c>
      <c r="AJ211" s="81">
        <f t="shared" si="148"/>
        <v>606</v>
      </c>
      <c r="AK211" s="8"/>
      <c r="AL211" s="8"/>
      <c r="AM211" s="8"/>
      <c r="AN211" s="8"/>
      <c r="AO211" s="8"/>
      <c r="AP211" s="8"/>
      <c r="AQ211" s="8"/>
    </row>
    <row r="212">
      <c r="A212" s="8"/>
      <c r="B212" s="8" t="s">
        <v>225</v>
      </c>
      <c r="C212" s="68">
        <f t="shared" si="143"/>
        <v>0.003761538462</v>
      </c>
      <c r="D212" s="8"/>
      <c r="E212" s="8"/>
      <c r="F212" s="8" t="s">
        <v>225</v>
      </c>
      <c r="G212" s="81">
        <v>24.0</v>
      </c>
      <c r="H212" s="81">
        <f t="shared" ref="H212:AJ212" si="149">G212+20</f>
        <v>44</v>
      </c>
      <c r="I212" s="81">
        <f t="shared" si="149"/>
        <v>64</v>
      </c>
      <c r="J212" s="81">
        <f t="shared" si="149"/>
        <v>84</v>
      </c>
      <c r="K212" s="81">
        <f t="shared" si="149"/>
        <v>104</v>
      </c>
      <c r="L212" s="81">
        <f t="shared" si="149"/>
        <v>124</v>
      </c>
      <c r="M212" s="81">
        <f t="shared" si="149"/>
        <v>144</v>
      </c>
      <c r="N212" s="81">
        <f t="shared" si="149"/>
        <v>164</v>
      </c>
      <c r="O212" s="81">
        <f t="shared" si="149"/>
        <v>184</v>
      </c>
      <c r="P212" s="81">
        <f t="shared" si="149"/>
        <v>204</v>
      </c>
      <c r="Q212" s="81">
        <f t="shared" si="149"/>
        <v>224</v>
      </c>
      <c r="R212" s="81">
        <f t="shared" si="149"/>
        <v>244</v>
      </c>
      <c r="S212" s="81">
        <f t="shared" si="149"/>
        <v>264</v>
      </c>
      <c r="T212" s="81">
        <f t="shared" si="149"/>
        <v>284</v>
      </c>
      <c r="U212" s="81">
        <f t="shared" si="149"/>
        <v>304</v>
      </c>
      <c r="V212" s="81">
        <f t="shared" si="149"/>
        <v>324</v>
      </c>
      <c r="W212" s="81">
        <f t="shared" si="149"/>
        <v>344</v>
      </c>
      <c r="X212" s="81">
        <f t="shared" si="149"/>
        <v>364</v>
      </c>
      <c r="Y212" s="81">
        <f t="shared" si="149"/>
        <v>384</v>
      </c>
      <c r="Z212" s="81">
        <f t="shared" si="149"/>
        <v>404</v>
      </c>
      <c r="AA212" s="81">
        <f t="shared" si="149"/>
        <v>424</v>
      </c>
      <c r="AB212" s="81">
        <f t="shared" si="149"/>
        <v>444</v>
      </c>
      <c r="AC212" s="81">
        <f t="shared" si="149"/>
        <v>464</v>
      </c>
      <c r="AD212" s="81">
        <f t="shared" si="149"/>
        <v>484</v>
      </c>
      <c r="AE212" s="81">
        <f t="shared" si="149"/>
        <v>504</v>
      </c>
      <c r="AF212" s="81">
        <f t="shared" si="149"/>
        <v>524</v>
      </c>
      <c r="AG212" s="81">
        <f t="shared" si="149"/>
        <v>544</v>
      </c>
      <c r="AH212" s="81">
        <f t="shared" si="149"/>
        <v>564</v>
      </c>
      <c r="AI212" s="81">
        <f t="shared" si="149"/>
        <v>584</v>
      </c>
      <c r="AJ212" s="81">
        <f t="shared" si="149"/>
        <v>604</v>
      </c>
      <c r="AK212" s="8"/>
      <c r="AL212" s="8"/>
      <c r="AM212" s="8"/>
      <c r="AN212" s="8"/>
      <c r="AO212" s="8"/>
      <c r="AP212" s="8"/>
      <c r="AQ212" s="8"/>
    </row>
    <row r="213">
      <c r="A213" s="8"/>
      <c r="B213" s="8" t="s">
        <v>217</v>
      </c>
      <c r="C213" s="68">
        <f t="shared" si="143"/>
        <v>0.003417391304</v>
      </c>
      <c r="D213" s="8"/>
      <c r="E213" s="8"/>
      <c r="F213" s="8" t="s">
        <v>239</v>
      </c>
      <c r="G213" s="81">
        <v>22.0</v>
      </c>
      <c r="H213" s="81">
        <f t="shared" ref="H213:AJ213" si="150">G213+20</f>
        <v>42</v>
      </c>
      <c r="I213" s="81">
        <f t="shared" si="150"/>
        <v>62</v>
      </c>
      <c r="J213" s="81">
        <f t="shared" si="150"/>
        <v>82</v>
      </c>
      <c r="K213" s="81">
        <f t="shared" si="150"/>
        <v>102</v>
      </c>
      <c r="L213" s="81">
        <f t="shared" si="150"/>
        <v>122</v>
      </c>
      <c r="M213" s="81">
        <f t="shared" si="150"/>
        <v>142</v>
      </c>
      <c r="N213" s="81">
        <f t="shared" si="150"/>
        <v>162</v>
      </c>
      <c r="O213" s="81">
        <f t="shared" si="150"/>
        <v>182</v>
      </c>
      <c r="P213" s="81">
        <f t="shared" si="150"/>
        <v>202</v>
      </c>
      <c r="Q213" s="81">
        <f t="shared" si="150"/>
        <v>222</v>
      </c>
      <c r="R213" s="81">
        <f t="shared" si="150"/>
        <v>242</v>
      </c>
      <c r="S213" s="81">
        <f t="shared" si="150"/>
        <v>262</v>
      </c>
      <c r="T213" s="81">
        <f t="shared" si="150"/>
        <v>282</v>
      </c>
      <c r="U213" s="81">
        <f t="shared" si="150"/>
        <v>302</v>
      </c>
      <c r="V213" s="81">
        <f t="shared" si="150"/>
        <v>322</v>
      </c>
      <c r="W213" s="81">
        <f t="shared" si="150"/>
        <v>342</v>
      </c>
      <c r="X213" s="81">
        <f t="shared" si="150"/>
        <v>362</v>
      </c>
      <c r="Y213" s="81">
        <f t="shared" si="150"/>
        <v>382</v>
      </c>
      <c r="Z213" s="81">
        <f t="shared" si="150"/>
        <v>402</v>
      </c>
      <c r="AA213" s="81">
        <f t="shared" si="150"/>
        <v>422</v>
      </c>
      <c r="AB213" s="81">
        <f t="shared" si="150"/>
        <v>442</v>
      </c>
      <c r="AC213" s="81">
        <f t="shared" si="150"/>
        <v>462</v>
      </c>
      <c r="AD213" s="81">
        <f t="shared" si="150"/>
        <v>482</v>
      </c>
      <c r="AE213" s="81">
        <f t="shared" si="150"/>
        <v>502</v>
      </c>
      <c r="AF213" s="81">
        <f t="shared" si="150"/>
        <v>522</v>
      </c>
      <c r="AG213" s="81">
        <f t="shared" si="150"/>
        <v>542</v>
      </c>
      <c r="AH213" s="81">
        <f t="shared" si="150"/>
        <v>562</v>
      </c>
      <c r="AI213" s="81">
        <f t="shared" si="150"/>
        <v>582</v>
      </c>
      <c r="AJ213" s="81">
        <f t="shared" si="150"/>
        <v>602</v>
      </c>
      <c r="AK213" s="8"/>
      <c r="AL213" s="8"/>
      <c r="AM213" s="8"/>
      <c r="AN213" s="8"/>
      <c r="AO213" s="8"/>
      <c r="AP213" s="8"/>
      <c r="AQ213" s="8"/>
    </row>
    <row r="214">
      <c r="A214" s="8"/>
      <c r="B214" s="8" t="s">
        <v>226</v>
      </c>
      <c r="C214" s="68">
        <f t="shared" si="143"/>
        <v>0.002449494949</v>
      </c>
      <c r="D214" s="8"/>
      <c r="E214" s="8"/>
      <c r="F214" s="8" t="s">
        <v>226</v>
      </c>
      <c r="G214" s="81">
        <v>20.0</v>
      </c>
      <c r="H214" s="81">
        <f t="shared" ref="H214:AJ214" si="151">G214+20</f>
        <v>40</v>
      </c>
      <c r="I214" s="81">
        <f t="shared" si="151"/>
        <v>60</v>
      </c>
      <c r="J214" s="81">
        <f t="shared" si="151"/>
        <v>80</v>
      </c>
      <c r="K214" s="81">
        <f t="shared" si="151"/>
        <v>100</v>
      </c>
      <c r="L214" s="81">
        <f t="shared" si="151"/>
        <v>120</v>
      </c>
      <c r="M214" s="81">
        <f t="shared" si="151"/>
        <v>140</v>
      </c>
      <c r="N214" s="81">
        <f t="shared" si="151"/>
        <v>160</v>
      </c>
      <c r="O214" s="81">
        <f t="shared" si="151"/>
        <v>180</v>
      </c>
      <c r="P214" s="81">
        <f t="shared" si="151"/>
        <v>200</v>
      </c>
      <c r="Q214" s="81">
        <f t="shared" si="151"/>
        <v>220</v>
      </c>
      <c r="R214" s="81">
        <f t="shared" si="151"/>
        <v>240</v>
      </c>
      <c r="S214" s="81">
        <f t="shared" si="151"/>
        <v>260</v>
      </c>
      <c r="T214" s="81">
        <f t="shared" si="151"/>
        <v>280</v>
      </c>
      <c r="U214" s="81">
        <f t="shared" si="151"/>
        <v>300</v>
      </c>
      <c r="V214" s="81">
        <f t="shared" si="151"/>
        <v>320</v>
      </c>
      <c r="W214" s="81">
        <f t="shared" si="151"/>
        <v>340</v>
      </c>
      <c r="X214" s="81">
        <f t="shared" si="151"/>
        <v>360</v>
      </c>
      <c r="Y214" s="81">
        <f t="shared" si="151"/>
        <v>380</v>
      </c>
      <c r="Z214" s="81">
        <f t="shared" si="151"/>
        <v>400</v>
      </c>
      <c r="AA214" s="81">
        <f t="shared" si="151"/>
        <v>420</v>
      </c>
      <c r="AB214" s="81">
        <f t="shared" si="151"/>
        <v>440</v>
      </c>
      <c r="AC214" s="81">
        <f t="shared" si="151"/>
        <v>460</v>
      </c>
      <c r="AD214" s="81">
        <f t="shared" si="151"/>
        <v>480</v>
      </c>
      <c r="AE214" s="81">
        <f t="shared" si="151"/>
        <v>500</v>
      </c>
      <c r="AF214" s="81">
        <f t="shared" si="151"/>
        <v>520</v>
      </c>
      <c r="AG214" s="81">
        <f t="shared" si="151"/>
        <v>540</v>
      </c>
      <c r="AH214" s="81">
        <f t="shared" si="151"/>
        <v>560</v>
      </c>
      <c r="AI214" s="81">
        <f t="shared" si="151"/>
        <v>580</v>
      </c>
      <c r="AJ214" s="81">
        <f t="shared" si="151"/>
        <v>600</v>
      </c>
      <c r="AK214" s="8"/>
      <c r="AL214" s="8"/>
      <c r="AM214" s="8"/>
      <c r="AN214" s="8"/>
      <c r="AO214" s="8"/>
      <c r="AP214" s="8"/>
      <c r="AQ214" s="8"/>
    </row>
    <row r="215">
      <c r="A215" s="8"/>
      <c r="B215" s="8"/>
      <c r="C215" s="8"/>
      <c r="D215" s="8"/>
      <c r="E215" s="8"/>
      <c r="F215" s="8"/>
      <c r="G215" s="82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</row>
    <row r="216">
      <c r="A216" s="8"/>
      <c r="B216" s="8" t="s">
        <v>88</v>
      </c>
      <c r="C216" s="8" t="s">
        <v>140</v>
      </c>
      <c r="D216" s="8"/>
      <c r="E216" s="8"/>
      <c r="F216" s="8"/>
      <c r="G216" s="82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</row>
    <row r="217">
      <c r="A217" s="67" t="s">
        <v>240</v>
      </c>
      <c r="B217" s="8" t="s">
        <v>219</v>
      </c>
      <c r="C217" s="68">
        <f t="shared" ref="C217:C225" si="152">G184/(G195*60)</f>
        <v>0.008307317073</v>
      </c>
      <c r="D217" s="8"/>
      <c r="E217" s="8"/>
      <c r="F217" s="8"/>
      <c r="G217" s="82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</row>
    <row r="218">
      <c r="A218" s="8"/>
      <c r="B218" s="8" t="s">
        <v>220</v>
      </c>
      <c r="C218" s="68">
        <f t="shared" si="152"/>
        <v>0.007017073171</v>
      </c>
      <c r="D218" s="8"/>
      <c r="E218" s="8"/>
      <c r="F218" s="8"/>
      <c r="G218" s="82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</row>
    <row r="219">
      <c r="A219" s="8"/>
      <c r="B219" s="8" t="s">
        <v>221</v>
      </c>
      <c r="C219" s="68">
        <f t="shared" si="152"/>
        <v>0.006518421053</v>
      </c>
      <c r="D219" s="8"/>
      <c r="E219" s="8"/>
      <c r="F219" s="8"/>
      <c r="G219" s="82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</row>
    <row r="220">
      <c r="A220" s="8"/>
      <c r="B220" s="8" t="s">
        <v>236</v>
      </c>
      <c r="C220" s="68">
        <f t="shared" si="152"/>
        <v>0.006137142857</v>
      </c>
      <c r="D220" s="8"/>
      <c r="E220" s="8"/>
      <c r="F220" s="8"/>
      <c r="G220" s="82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</row>
    <row r="221">
      <c r="A221" s="8"/>
      <c r="B221" s="8" t="s">
        <v>237</v>
      </c>
      <c r="C221" s="68">
        <f t="shared" si="152"/>
        <v>0.0055</v>
      </c>
      <c r="D221" s="8"/>
      <c r="E221" s="8"/>
      <c r="F221" s="8"/>
      <c r="G221" s="82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</row>
    <row r="222">
      <c r="A222" s="8"/>
      <c r="B222" s="8" t="s">
        <v>232</v>
      </c>
      <c r="C222" s="68">
        <f t="shared" si="152"/>
        <v>0.004913793103</v>
      </c>
      <c r="D222" s="8"/>
      <c r="E222" s="8"/>
      <c r="F222" s="8"/>
      <c r="G222" s="82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</row>
    <row r="223">
      <c r="A223" s="8"/>
      <c r="B223" s="8" t="s">
        <v>225</v>
      </c>
      <c r="C223" s="68">
        <f t="shared" si="152"/>
        <v>0.003630769231</v>
      </c>
      <c r="D223" s="8"/>
      <c r="E223" s="8"/>
      <c r="F223" s="8"/>
      <c r="G223" s="82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</row>
    <row r="224">
      <c r="A224" s="8"/>
      <c r="B224" s="8" t="s">
        <v>217</v>
      </c>
      <c r="C224" s="68">
        <f t="shared" si="152"/>
        <v>0.00312173913</v>
      </c>
      <c r="D224" s="8"/>
      <c r="E224" s="8"/>
      <c r="F224" s="8"/>
      <c r="G224" s="82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</row>
    <row r="225">
      <c r="A225" s="8"/>
      <c r="B225" s="8" t="s">
        <v>226</v>
      </c>
      <c r="C225" s="68">
        <f t="shared" si="152"/>
        <v>0.002545454545</v>
      </c>
      <c r="D225" s="8"/>
      <c r="E225" s="8"/>
      <c r="F225" s="8"/>
      <c r="G225" s="82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</row>
    <row r="226">
      <c r="A226" s="8"/>
      <c r="B226" s="8"/>
      <c r="C226" s="8"/>
      <c r="D226" s="8"/>
      <c r="E226" s="8"/>
      <c r="F226" s="8"/>
      <c r="G226" s="82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</row>
    <row r="227">
      <c r="A227" s="8"/>
      <c r="B227" s="8"/>
      <c r="C227" s="8"/>
      <c r="D227" s="8"/>
      <c r="E227" s="8"/>
      <c r="F227" s="8"/>
      <c r="G227" s="82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</row>
    <row r="228">
      <c r="A228" s="8"/>
      <c r="B228" s="8"/>
      <c r="C228" s="8"/>
      <c r="D228" s="8"/>
      <c r="E228" s="8"/>
      <c r="F228" s="8"/>
      <c r="G228" s="82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</row>
    <row r="229">
      <c r="A229" s="8"/>
      <c r="B229" s="8"/>
      <c r="C229" s="8"/>
      <c r="D229" s="8"/>
      <c r="E229" s="8"/>
      <c r="F229" s="8"/>
      <c r="G229" s="82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</row>
    <row r="232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</row>
    <row r="234">
      <c r="A234" s="8"/>
      <c r="B234" s="84" t="s">
        <v>241</v>
      </c>
      <c r="C234" s="12"/>
      <c r="D234" s="12"/>
      <c r="E234" s="12"/>
      <c r="F234" s="12"/>
      <c r="G234" s="12"/>
      <c r="H234" s="12"/>
      <c r="I234" s="12"/>
      <c r="J234" s="12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</row>
    <row r="236">
      <c r="A236" s="50" t="s">
        <v>242</v>
      </c>
      <c r="C236" s="8" t="s">
        <v>116</v>
      </c>
      <c r="D236" s="8" t="s">
        <v>243</v>
      </c>
      <c r="E236" s="8" t="s">
        <v>118</v>
      </c>
      <c r="F236" s="8"/>
      <c r="G236" s="9">
        <v>0.0991</v>
      </c>
      <c r="H236" s="9">
        <v>0.1314</v>
      </c>
      <c r="I236" s="9">
        <v>0.1679</v>
      </c>
      <c r="J236" s="9">
        <v>0.2019</v>
      </c>
      <c r="K236" s="9">
        <v>0.237</v>
      </c>
      <c r="L236" s="9">
        <v>0.2726</v>
      </c>
      <c r="M236" s="9">
        <v>0.3126</v>
      </c>
      <c r="N236" s="9">
        <v>0.3565</v>
      </c>
      <c r="O236" s="9">
        <v>0.3979</v>
      </c>
      <c r="P236" s="9">
        <v>0.4274</v>
      </c>
      <c r="Q236" s="9">
        <v>0.4689</v>
      </c>
      <c r="R236" s="9">
        <v>0.51</v>
      </c>
      <c r="S236" s="9">
        <v>0.5487</v>
      </c>
      <c r="T236" s="9">
        <v>0.5898</v>
      </c>
      <c r="U236" s="9">
        <v>0.6221</v>
      </c>
      <c r="V236" s="9">
        <v>0.6654</v>
      </c>
      <c r="W236" s="9">
        <v>0.7154</v>
      </c>
      <c r="X236" s="9">
        <v>0.7619</v>
      </c>
      <c r="Y236" s="9">
        <v>0.8051</v>
      </c>
      <c r="Z236" s="9">
        <v>0.8532</v>
      </c>
      <c r="AA236" s="9">
        <v>0.8963</v>
      </c>
      <c r="AB236" s="9">
        <v>0.9408</v>
      </c>
      <c r="AC236" s="9">
        <v>0.9852</v>
      </c>
      <c r="AD236" s="9">
        <v>1.0273</v>
      </c>
      <c r="AE236" s="9">
        <v>1.0727</v>
      </c>
      <c r="AF236" s="9">
        <v>1.1175</v>
      </c>
      <c r="AG236" s="9">
        <v>1.1599</v>
      </c>
      <c r="AH236" s="9">
        <v>1.2052</v>
      </c>
      <c r="AI236" s="9">
        <v>1.2491</v>
      </c>
      <c r="AJ236" s="9">
        <v>1.293</v>
      </c>
      <c r="AK236" s="8"/>
      <c r="AL236" s="8"/>
      <c r="AM236" s="8"/>
      <c r="AN236" s="8"/>
      <c r="AO236" s="8"/>
      <c r="AP236" s="8"/>
      <c r="AQ236" s="8"/>
    </row>
    <row r="237">
      <c r="C237" s="8" t="s">
        <v>116</v>
      </c>
      <c r="D237" s="8" t="s">
        <v>244</v>
      </c>
      <c r="E237" s="8" t="s">
        <v>118</v>
      </c>
      <c r="F237" s="8"/>
      <c r="G237" s="9">
        <v>0.1058</v>
      </c>
      <c r="H237" s="9">
        <v>0.1303</v>
      </c>
      <c r="I237" s="9">
        <v>0.1669</v>
      </c>
      <c r="J237" s="9">
        <v>0.2302</v>
      </c>
      <c r="K237" s="9">
        <v>0.2941</v>
      </c>
      <c r="L237" s="9">
        <v>0.2938</v>
      </c>
      <c r="M237" s="9">
        <v>0.3169</v>
      </c>
      <c r="N237" s="9">
        <v>0.3341</v>
      </c>
      <c r="O237" s="9">
        <v>0.3479</v>
      </c>
      <c r="P237" s="9">
        <v>0.3574</v>
      </c>
      <c r="Q237" s="9">
        <v>0.4101</v>
      </c>
      <c r="R237" s="9">
        <v>0.4043</v>
      </c>
      <c r="S237" s="9">
        <v>0.4503</v>
      </c>
      <c r="T237" s="9">
        <v>0.4713</v>
      </c>
      <c r="U237" s="9">
        <v>0.5009</v>
      </c>
      <c r="V237" s="9">
        <v>0.5451</v>
      </c>
      <c r="W237" s="9">
        <v>0.5801</v>
      </c>
      <c r="X237" s="9">
        <v>0.6023</v>
      </c>
      <c r="Y237" s="9">
        <v>0.6181</v>
      </c>
      <c r="Z237" s="9">
        <v>0.6648</v>
      </c>
      <c r="AA237" s="9">
        <v>0.6772</v>
      </c>
      <c r="AB237" s="9">
        <v>0.6862</v>
      </c>
      <c r="AC237" s="9">
        <v>0.7161</v>
      </c>
      <c r="AD237" s="9">
        <v>0.7433</v>
      </c>
      <c r="AE237" s="9">
        <v>0.7708</v>
      </c>
      <c r="AF237" s="9">
        <v>0.8012</v>
      </c>
      <c r="AG237" s="9">
        <v>0.8295</v>
      </c>
      <c r="AH237" s="9">
        <v>0.8588</v>
      </c>
      <c r="AI237" s="9">
        <v>0.8923</v>
      </c>
      <c r="AJ237" s="9">
        <v>0.9376</v>
      </c>
      <c r="AK237" s="8"/>
      <c r="AL237" s="8"/>
      <c r="AM237" s="8"/>
      <c r="AN237" s="8"/>
      <c r="AO237" s="8"/>
      <c r="AP237" s="8"/>
      <c r="AQ237" s="8"/>
    </row>
    <row r="238">
      <c r="C238" s="8" t="s">
        <v>116</v>
      </c>
      <c r="D238" s="8" t="s">
        <v>243</v>
      </c>
      <c r="E238" s="8" t="s">
        <v>118</v>
      </c>
      <c r="F238" s="8"/>
      <c r="G238" s="9">
        <v>0.1184</v>
      </c>
      <c r="H238" s="9">
        <v>0.1528</v>
      </c>
      <c r="I238" s="9">
        <v>0.1901</v>
      </c>
      <c r="J238" s="9">
        <v>0.2287</v>
      </c>
      <c r="K238" s="9">
        <v>0.2663</v>
      </c>
      <c r="L238" s="9">
        <v>0.3022</v>
      </c>
      <c r="M238" s="9">
        <v>0.3402</v>
      </c>
      <c r="N238" s="9">
        <v>0.3876</v>
      </c>
      <c r="O238" s="9">
        <v>0.4266</v>
      </c>
      <c r="P238" s="9">
        <v>0.4614</v>
      </c>
      <c r="Q238" s="9">
        <v>0.502</v>
      </c>
      <c r="R238" s="9">
        <v>0.5441</v>
      </c>
      <c r="S238" s="9">
        <v>0.5863</v>
      </c>
      <c r="T238" s="9">
        <v>0.6304</v>
      </c>
      <c r="U238" s="9">
        <v>0.6717</v>
      </c>
      <c r="V238" s="9">
        <v>0.7174</v>
      </c>
      <c r="W238" s="9">
        <v>0.764</v>
      </c>
      <c r="X238" s="9">
        <v>0.8065</v>
      </c>
      <c r="Y238" s="9">
        <v>0.8512</v>
      </c>
      <c r="Z238" s="9">
        <v>0.8973</v>
      </c>
      <c r="AA238" s="9">
        <v>0.9405</v>
      </c>
      <c r="AB238" s="9">
        <v>0.9889</v>
      </c>
      <c r="AC238" s="9">
        <v>1.0321</v>
      </c>
      <c r="AD238" s="9">
        <v>1.0784</v>
      </c>
      <c r="AE238" s="9">
        <v>1.1242</v>
      </c>
      <c r="AF238" s="9">
        <v>1.1692</v>
      </c>
      <c r="AG238" s="9">
        <v>1.2135</v>
      </c>
      <c r="AH238" s="9">
        <v>1.2592</v>
      </c>
      <c r="AI238" s="9">
        <v>1.3037</v>
      </c>
      <c r="AJ238" s="9">
        <v>1.3506</v>
      </c>
      <c r="AK238" s="8"/>
      <c r="AL238" s="8"/>
      <c r="AM238" s="8"/>
      <c r="AN238" s="8"/>
      <c r="AO238" s="8"/>
      <c r="AP238" s="8"/>
      <c r="AQ238" s="8"/>
    </row>
    <row r="239">
      <c r="C239" s="8" t="s">
        <v>116</v>
      </c>
      <c r="D239" s="8" t="s">
        <v>244</v>
      </c>
      <c r="E239" s="8" t="s">
        <v>118</v>
      </c>
      <c r="F239" s="8"/>
      <c r="G239" s="9">
        <v>0.1364</v>
      </c>
      <c r="H239" s="9">
        <v>0.1572</v>
      </c>
      <c r="I239" s="9">
        <v>0.1791</v>
      </c>
      <c r="J239" s="9">
        <v>0.2096</v>
      </c>
      <c r="K239" s="9">
        <v>0.2298</v>
      </c>
      <c r="L239" s="9">
        <v>0.2622</v>
      </c>
      <c r="M239" s="9">
        <v>0.2963</v>
      </c>
      <c r="N239" s="9">
        <v>0.3306</v>
      </c>
      <c r="O239" s="9">
        <v>0.3503</v>
      </c>
      <c r="P239" s="9">
        <v>0.4019</v>
      </c>
      <c r="Q239" s="9">
        <v>0.4176</v>
      </c>
      <c r="R239" s="9">
        <v>0.4602</v>
      </c>
      <c r="S239" s="9">
        <v>0.4576</v>
      </c>
      <c r="T239" s="9">
        <v>0.4929</v>
      </c>
      <c r="U239" s="9">
        <v>0.5239</v>
      </c>
      <c r="V239" s="9">
        <v>0.5276</v>
      </c>
      <c r="W239" s="9">
        <v>0.5592</v>
      </c>
      <c r="X239" s="9">
        <v>0.5818</v>
      </c>
      <c r="Y239" s="9">
        <v>0.6125</v>
      </c>
      <c r="Z239" s="9">
        <v>0.64</v>
      </c>
      <c r="AA239" s="9">
        <v>0.6598</v>
      </c>
      <c r="AB239" s="9">
        <v>0.6802</v>
      </c>
      <c r="AC239" s="9">
        <v>0.7005</v>
      </c>
      <c r="AD239" s="9">
        <v>0.7419</v>
      </c>
      <c r="AE239" s="9">
        <v>0.747</v>
      </c>
      <c r="AF239" s="9">
        <v>0.7779</v>
      </c>
      <c r="AG239" s="9">
        <v>0.8049</v>
      </c>
      <c r="AH239" s="9">
        <v>0.8175</v>
      </c>
      <c r="AI239" s="9">
        <v>0.8342</v>
      </c>
      <c r="AJ239" s="9">
        <v>0.8431</v>
      </c>
      <c r="AK239" s="8"/>
      <c r="AL239" s="8"/>
      <c r="AM239" s="8"/>
      <c r="AN239" s="8"/>
      <c r="AO239" s="8"/>
      <c r="AP239" s="8"/>
      <c r="AQ239" s="8"/>
    </row>
    <row r="240">
      <c r="C240" s="8" t="s">
        <v>116</v>
      </c>
      <c r="D240" s="8" t="s">
        <v>245</v>
      </c>
      <c r="E240" s="8" t="s">
        <v>118</v>
      </c>
      <c r="F240" s="8"/>
      <c r="G240" s="9">
        <v>0.077</v>
      </c>
      <c r="H240" s="9">
        <v>0.0838</v>
      </c>
      <c r="I240" s="9">
        <v>0.0906</v>
      </c>
      <c r="J240" s="9">
        <v>0.0984</v>
      </c>
      <c r="K240" s="9">
        <v>0.1037</v>
      </c>
      <c r="L240" s="9">
        <v>0.1095</v>
      </c>
      <c r="M240" s="9">
        <v>0.1142</v>
      </c>
      <c r="N240" s="9">
        <v>0.1187</v>
      </c>
      <c r="O240" s="9">
        <v>0.1239</v>
      </c>
      <c r="P240" s="9">
        <v>0.127</v>
      </c>
      <c r="Q240" s="9">
        <v>0.1309</v>
      </c>
      <c r="R240" s="9">
        <v>0.1339</v>
      </c>
      <c r="S240" s="9">
        <v>0.1369</v>
      </c>
      <c r="T240" s="9">
        <v>0.1396</v>
      </c>
      <c r="U240" s="9">
        <v>0.142</v>
      </c>
      <c r="V240" s="9">
        <v>0.1445</v>
      </c>
      <c r="W240" s="9">
        <v>0.1471</v>
      </c>
      <c r="X240" s="9">
        <v>0.1485</v>
      </c>
      <c r="Y240" s="9">
        <v>0.15</v>
      </c>
      <c r="Z240" s="9">
        <v>0.1515</v>
      </c>
      <c r="AA240" s="9">
        <v>0.1528</v>
      </c>
      <c r="AB240" s="9">
        <v>0.1539</v>
      </c>
      <c r="AC240" s="9">
        <v>0.1547</v>
      </c>
      <c r="AD240" s="9">
        <v>0.1554</v>
      </c>
      <c r="AE240" s="9">
        <v>0.1569</v>
      </c>
      <c r="AF240" s="9">
        <v>0.157</v>
      </c>
      <c r="AG240" s="9">
        <v>0.1582</v>
      </c>
      <c r="AH240" s="9">
        <v>0.1588</v>
      </c>
      <c r="AI240" s="9">
        <v>0.1591</v>
      </c>
      <c r="AJ240" s="9">
        <v>0.1595</v>
      </c>
      <c r="AK240" s="8"/>
      <c r="AL240" s="8"/>
      <c r="AM240" s="8"/>
      <c r="AN240" s="8"/>
      <c r="AO240" s="8"/>
      <c r="AP240" s="8"/>
      <c r="AQ240" s="8"/>
    </row>
    <row r="241">
      <c r="C241" s="8" t="s">
        <v>116</v>
      </c>
      <c r="D241" s="8" t="s">
        <v>246</v>
      </c>
      <c r="E241" s="8" t="s">
        <v>118</v>
      </c>
      <c r="F241" s="8"/>
      <c r="G241" s="9">
        <v>0.1074</v>
      </c>
      <c r="H241" s="9">
        <v>0.1205</v>
      </c>
      <c r="I241" s="9">
        <v>0.1354</v>
      </c>
      <c r="J241" s="9">
        <v>0.1463</v>
      </c>
      <c r="K241" s="9">
        <v>0.1578</v>
      </c>
      <c r="L241" s="9">
        <v>0.1689</v>
      </c>
      <c r="M241" s="9">
        <v>0.1776</v>
      </c>
      <c r="N241" s="9">
        <v>0.1884</v>
      </c>
      <c r="O241" s="9">
        <v>0.1992</v>
      </c>
      <c r="P241" s="9">
        <v>0.2034</v>
      </c>
      <c r="Q241" s="9">
        <v>0.2132</v>
      </c>
      <c r="R241" s="9">
        <v>0.2197</v>
      </c>
      <c r="S241" s="9">
        <v>0.2253</v>
      </c>
      <c r="T241" s="9">
        <v>0.2301</v>
      </c>
      <c r="U241" s="9">
        <v>0.2364</v>
      </c>
      <c r="V241" s="9">
        <v>0.241</v>
      </c>
      <c r="W241" s="9">
        <v>0.2434</v>
      </c>
      <c r="X241" s="9">
        <v>0.2475</v>
      </c>
      <c r="Y241" s="9">
        <v>0.2497</v>
      </c>
      <c r="Z241" s="9">
        <v>0.2529</v>
      </c>
      <c r="AA241" s="9">
        <v>0.2571</v>
      </c>
      <c r="AB241" s="9">
        <v>0.2564</v>
      </c>
      <c r="AC241" s="9">
        <v>0.2592</v>
      </c>
      <c r="AD241" s="9">
        <v>0.2611</v>
      </c>
      <c r="AE241" s="9">
        <v>0.265</v>
      </c>
      <c r="AF241" s="9">
        <v>0.2658</v>
      </c>
      <c r="AG241" s="9">
        <v>0.2647</v>
      </c>
      <c r="AH241" s="9">
        <v>0.2702</v>
      </c>
      <c r="AI241" s="9">
        <v>0.272</v>
      </c>
      <c r="AJ241" s="9">
        <v>0.2658</v>
      </c>
      <c r="AK241" s="8"/>
      <c r="AL241" s="8"/>
      <c r="AM241" s="8"/>
      <c r="AN241" s="8"/>
      <c r="AO241" s="8"/>
      <c r="AP241" s="8"/>
      <c r="AQ241" s="8"/>
    </row>
    <row r="242">
      <c r="C242" s="8" t="s">
        <v>116</v>
      </c>
      <c r="D242" s="8" t="s">
        <v>247</v>
      </c>
      <c r="E242" s="8" t="s">
        <v>118</v>
      </c>
      <c r="F242" s="8"/>
      <c r="G242" s="9">
        <v>0.1227</v>
      </c>
      <c r="H242" s="9">
        <v>0.1385</v>
      </c>
      <c r="I242" s="9">
        <v>0.1548</v>
      </c>
      <c r="J242" s="9">
        <v>0.1693</v>
      </c>
      <c r="K242" s="9">
        <v>0.1851</v>
      </c>
      <c r="L242" s="9">
        <v>0.1968</v>
      </c>
      <c r="M242" s="9">
        <v>0.2097</v>
      </c>
      <c r="N242" s="9">
        <v>0.2208</v>
      </c>
      <c r="O242" s="9">
        <v>0.2316</v>
      </c>
      <c r="P242" s="9">
        <v>0.2448</v>
      </c>
      <c r="Q242" s="9">
        <v>0.2495</v>
      </c>
      <c r="R242" s="9">
        <v>0.2645</v>
      </c>
      <c r="S242" s="9">
        <v>0.2643</v>
      </c>
      <c r="T242" s="9">
        <v>0.2759</v>
      </c>
      <c r="U242" s="9">
        <v>0.282</v>
      </c>
      <c r="V242" s="9">
        <v>0.285</v>
      </c>
      <c r="W242" s="9">
        <v>0.2905</v>
      </c>
      <c r="X242" s="9">
        <v>0.296</v>
      </c>
      <c r="Y242" s="9">
        <v>0.3027</v>
      </c>
      <c r="Z242" s="9">
        <v>0.3029</v>
      </c>
      <c r="AA242" s="9">
        <v>0.3089</v>
      </c>
      <c r="AB242" s="9">
        <v>0.3062</v>
      </c>
      <c r="AC242" s="9">
        <v>0.3125</v>
      </c>
      <c r="AD242" s="9">
        <v>0.3137</v>
      </c>
      <c r="AE242" s="9">
        <v>0.3159</v>
      </c>
      <c r="AF242" s="9">
        <v>0.3184</v>
      </c>
      <c r="AG242" s="9">
        <v>0.3226</v>
      </c>
      <c r="AH242" s="9">
        <v>0.3169</v>
      </c>
      <c r="AI242" s="9">
        <v>0.3182</v>
      </c>
      <c r="AJ242" s="9">
        <v>0.3173</v>
      </c>
      <c r="AK242" s="8"/>
      <c r="AL242" s="8"/>
      <c r="AM242" s="8"/>
      <c r="AN242" s="8"/>
      <c r="AO242" s="8"/>
      <c r="AP242" s="8"/>
      <c r="AQ242" s="8"/>
    </row>
    <row r="243">
      <c r="C243" s="8" t="s">
        <v>116</v>
      </c>
      <c r="D243" s="8" t="s">
        <v>248</v>
      </c>
      <c r="E243" s="8" t="s">
        <v>118</v>
      </c>
      <c r="F243" s="8"/>
      <c r="G243" s="9">
        <v>0.1558</v>
      </c>
      <c r="H243" s="9">
        <v>0.1788</v>
      </c>
      <c r="I243" s="9">
        <v>0.1993</v>
      </c>
      <c r="J243" s="9">
        <v>0.2212</v>
      </c>
      <c r="K243" s="9">
        <v>0.2427</v>
      </c>
      <c r="L243" s="9">
        <v>0.2608</v>
      </c>
      <c r="M243" s="9">
        <v>0.2797</v>
      </c>
      <c r="N243" s="9">
        <v>0.2999</v>
      </c>
      <c r="O243" s="9">
        <v>0.32</v>
      </c>
      <c r="P243" s="9">
        <v>0.3348</v>
      </c>
      <c r="Q243" s="9">
        <v>0.3492</v>
      </c>
      <c r="R243" s="9">
        <v>0.3664</v>
      </c>
      <c r="S243" s="9">
        <v>0.384</v>
      </c>
      <c r="T243" s="9">
        <v>0.3969</v>
      </c>
      <c r="U243" s="9">
        <v>0.4128</v>
      </c>
      <c r="V243" s="9">
        <v>0.4229</v>
      </c>
      <c r="W243" s="9">
        <v>0.4374</v>
      </c>
      <c r="X243" s="9">
        <v>0.4496</v>
      </c>
      <c r="Y243" s="9">
        <v>0.4508</v>
      </c>
      <c r="Z243" s="9">
        <v>0.4691</v>
      </c>
      <c r="AA243" s="9">
        <v>0.4791</v>
      </c>
      <c r="AB243" s="9">
        <v>0.4819</v>
      </c>
      <c r="AC243" s="9">
        <v>0.4798</v>
      </c>
      <c r="AD243" s="9">
        <v>0.4915</v>
      </c>
      <c r="AE243" s="9">
        <v>0.491</v>
      </c>
      <c r="AF243" s="9">
        <v>0.504</v>
      </c>
      <c r="AG243" s="9">
        <v>0.5088</v>
      </c>
      <c r="AH243" s="9">
        <v>0.518</v>
      </c>
      <c r="AI243" s="9">
        <v>0.5114</v>
      </c>
      <c r="AJ243" s="9">
        <v>0.5228</v>
      </c>
      <c r="AK243" s="8"/>
      <c r="AL243" s="8"/>
      <c r="AM243" s="8"/>
      <c r="AN243" s="8"/>
      <c r="AO243" s="8"/>
      <c r="AP243" s="8"/>
      <c r="AQ243" s="8"/>
    </row>
    <row r="244">
      <c r="C244" s="8" t="s">
        <v>116</v>
      </c>
      <c r="D244" s="8" t="s">
        <v>249</v>
      </c>
      <c r="E244" s="8" t="s">
        <v>118</v>
      </c>
      <c r="F244" s="8"/>
      <c r="G244" s="9">
        <v>0.1722</v>
      </c>
      <c r="H244" s="9">
        <v>0.1918</v>
      </c>
      <c r="I244" s="9">
        <v>0.2143</v>
      </c>
      <c r="J244" s="9">
        <v>0.2386</v>
      </c>
      <c r="K244" s="9">
        <v>0.2599</v>
      </c>
      <c r="L244" s="9">
        <v>0.2854</v>
      </c>
      <c r="M244" s="9">
        <v>0.302</v>
      </c>
      <c r="N244" s="9">
        <v>0.327</v>
      </c>
      <c r="O244" s="9">
        <v>0.3451</v>
      </c>
      <c r="P244" s="9">
        <v>0.3589</v>
      </c>
      <c r="Q244" s="9">
        <v>0.3816</v>
      </c>
      <c r="R244" s="9">
        <v>0.3965</v>
      </c>
      <c r="S244" s="9">
        <v>0.4137</v>
      </c>
      <c r="T244" s="9">
        <v>0.437</v>
      </c>
      <c r="U244" s="9">
        <v>0.4495</v>
      </c>
      <c r="V244" s="9">
        <v>0.4595</v>
      </c>
      <c r="W244" s="9">
        <v>0.4788</v>
      </c>
      <c r="X244" s="9">
        <v>0.4879</v>
      </c>
      <c r="Y244" s="9">
        <v>0.5021</v>
      </c>
      <c r="Z244" s="9">
        <v>0.5133</v>
      </c>
      <c r="AA244" s="9">
        <v>0.5178</v>
      </c>
      <c r="AB244" s="9">
        <v>0.5379</v>
      </c>
      <c r="AC244" s="9">
        <v>0.5322</v>
      </c>
      <c r="AD244" s="9">
        <v>0.5513</v>
      </c>
      <c r="AE244" s="9">
        <v>0.5641</v>
      </c>
      <c r="AF244" s="9">
        <v>0.5584</v>
      </c>
      <c r="AG244" s="9">
        <v>0.5952</v>
      </c>
      <c r="AH244" s="9">
        <v>0.5755</v>
      </c>
      <c r="AI244" s="9">
        <v>0.5919</v>
      </c>
      <c r="AJ244" s="9">
        <v>0.5861</v>
      </c>
      <c r="AK244" s="8"/>
      <c r="AL244" s="8"/>
      <c r="AM244" s="8"/>
      <c r="AN244" s="8"/>
      <c r="AO244" s="8"/>
      <c r="AP244" s="8"/>
      <c r="AQ244" s="8"/>
    </row>
    <row r="245">
      <c r="C245" s="8" t="s">
        <v>116</v>
      </c>
      <c r="D245" s="8" t="s">
        <v>250</v>
      </c>
      <c r="E245" s="8" t="s">
        <v>118</v>
      </c>
      <c r="F245" s="8"/>
      <c r="G245" s="9">
        <v>0.1849</v>
      </c>
      <c r="H245" s="9">
        <v>0.2106</v>
      </c>
      <c r="I245" s="9">
        <v>0.2354</v>
      </c>
      <c r="J245" s="9">
        <v>0.26</v>
      </c>
      <c r="K245" s="9">
        <v>0.2846</v>
      </c>
      <c r="L245" s="9">
        <v>0.3095</v>
      </c>
      <c r="M245" s="9">
        <v>0.3316</v>
      </c>
      <c r="N245" s="9">
        <v>0.3563</v>
      </c>
      <c r="O245" s="9">
        <v>0.3786</v>
      </c>
      <c r="P245" s="9">
        <v>0.4024</v>
      </c>
      <c r="Q245" s="9">
        <v>0.4211</v>
      </c>
      <c r="R245" s="9">
        <v>0.4427</v>
      </c>
      <c r="S245" s="9">
        <v>0.4646</v>
      </c>
      <c r="T245" s="9">
        <v>0.4815</v>
      </c>
      <c r="U245" s="9">
        <v>0.4986</v>
      </c>
      <c r="V245" s="9">
        <v>0.5166</v>
      </c>
      <c r="W245" s="9">
        <v>0.5343</v>
      </c>
      <c r="X245" s="9">
        <v>0.5498</v>
      </c>
      <c r="Y245" s="9">
        <v>0.5642</v>
      </c>
      <c r="Z245" s="9">
        <v>0.5786</v>
      </c>
      <c r="AA245" s="9">
        <v>0.5926</v>
      </c>
      <c r="AB245" s="9">
        <v>0.604</v>
      </c>
      <c r="AC245" s="9">
        <v>0.6157</v>
      </c>
      <c r="AD245" s="9">
        <v>0.6254</v>
      </c>
      <c r="AE245" s="9">
        <v>0.6365</v>
      </c>
      <c r="AF245" s="9">
        <v>0.6419</v>
      </c>
      <c r="AG245" s="9">
        <v>0.649</v>
      </c>
      <c r="AH245" s="9">
        <v>0.6607</v>
      </c>
      <c r="AI245" s="9">
        <v>0.6624</v>
      </c>
      <c r="AJ245" s="9">
        <v>0.6706</v>
      </c>
      <c r="AK245" s="8"/>
      <c r="AL245" s="8"/>
      <c r="AM245" s="8"/>
      <c r="AN245" s="8"/>
      <c r="AO245" s="8"/>
      <c r="AP245" s="8"/>
      <c r="AQ245" s="8"/>
    </row>
    <row r="246">
      <c r="C246" s="8" t="s">
        <v>116</v>
      </c>
      <c r="D246" s="8" t="s">
        <v>251</v>
      </c>
      <c r="E246" s="8" t="s">
        <v>118</v>
      </c>
      <c r="F246" s="8"/>
      <c r="G246" s="9">
        <v>0.2091</v>
      </c>
      <c r="H246" s="9">
        <v>0.2355</v>
      </c>
      <c r="I246" s="9">
        <v>0.2642</v>
      </c>
      <c r="J246" s="9">
        <v>0.2834</v>
      </c>
      <c r="K246" s="9">
        <v>0.3127</v>
      </c>
      <c r="L246" s="9">
        <v>0.346</v>
      </c>
      <c r="M246" s="9">
        <v>0.3714</v>
      </c>
      <c r="N246" s="9">
        <v>0.3973</v>
      </c>
      <c r="O246" s="9">
        <v>0.4156</v>
      </c>
      <c r="P246" s="9">
        <v>0.4413</v>
      </c>
      <c r="Q246" s="9">
        <v>0.4674</v>
      </c>
      <c r="R246" s="9">
        <v>0.4893</v>
      </c>
      <c r="S246" s="9">
        <v>0.5217</v>
      </c>
      <c r="T246" s="9">
        <v>0.5355</v>
      </c>
      <c r="U246" s="9">
        <v>0.5623</v>
      </c>
      <c r="V246" s="9">
        <v>0.58</v>
      </c>
      <c r="W246" s="9">
        <v>0.6132</v>
      </c>
      <c r="X246" s="9">
        <v>0.6318</v>
      </c>
      <c r="Y246" s="9">
        <v>0.6524</v>
      </c>
      <c r="Z246" s="9">
        <v>0.6821</v>
      </c>
      <c r="AA246" s="9">
        <v>0.6849</v>
      </c>
      <c r="AB246" s="9">
        <v>0.7145</v>
      </c>
      <c r="AC246" s="9">
        <v>0.7679</v>
      </c>
      <c r="AD246" s="9">
        <v>0.7424</v>
      </c>
      <c r="AE246" s="9">
        <v>0.7555</v>
      </c>
      <c r="AF246" s="9">
        <v>0.7642</v>
      </c>
      <c r="AG246" s="9">
        <v>0.8083</v>
      </c>
      <c r="AH246" s="9">
        <v>0.8033</v>
      </c>
      <c r="AI246" s="9">
        <v>0.8302</v>
      </c>
      <c r="AJ246" s="9">
        <v>0.8442</v>
      </c>
      <c r="AK246" s="8"/>
      <c r="AL246" s="8"/>
      <c r="AM246" s="8"/>
      <c r="AN246" s="8"/>
      <c r="AO246" s="8"/>
      <c r="AP246" s="8"/>
      <c r="AQ246" s="8"/>
    </row>
    <row r="247">
      <c r="C247" s="8" t="s">
        <v>116</v>
      </c>
      <c r="D247" s="8" t="s">
        <v>252</v>
      </c>
      <c r="E247" s="8" t="s">
        <v>118</v>
      </c>
      <c r="F247" s="8"/>
      <c r="G247" s="9">
        <v>0.2342</v>
      </c>
      <c r="H247" s="9">
        <v>0.267</v>
      </c>
      <c r="I247" s="9">
        <v>0.3009</v>
      </c>
      <c r="J247" s="9">
        <v>0.3288</v>
      </c>
      <c r="K247" s="9">
        <v>0.3656</v>
      </c>
      <c r="L247" s="9">
        <v>0.4006</v>
      </c>
      <c r="M247" s="9">
        <v>0.4317</v>
      </c>
      <c r="N247" s="9">
        <v>0.4622</v>
      </c>
      <c r="O247" s="9">
        <v>0.4945</v>
      </c>
      <c r="P247" s="9">
        <v>0.5299</v>
      </c>
      <c r="Q247" s="9">
        <v>0.5599</v>
      </c>
      <c r="R247" s="9">
        <v>0.589</v>
      </c>
      <c r="S247" s="9">
        <v>0.6229</v>
      </c>
      <c r="T247" s="9">
        <v>0.6572</v>
      </c>
      <c r="U247" s="9">
        <v>0.6952</v>
      </c>
      <c r="V247" s="9">
        <v>0.7122</v>
      </c>
      <c r="W247" s="9">
        <v>0.7392</v>
      </c>
      <c r="X247" s="9">
        <v>0.7661</v>
      </c>
      <c r="Y247" s="9">
        <v>0.7913</v>
      </c>
      <c r="Z247" s="9">
        <v>0.8338</v>
      </c>
      <c r="AA247" s="9">
        <v>0.8458</v>
      </c>
      <c r="AB247" s="9">
        <v>0.8701</v>
      </c>
      <c r="AC247" s="9">
        <v>0.8944</v>
      </c>
      <c r="AD247" s="9">
        <v>0.9175</v>
      </c>
      <c r="AE247" s="9">
        <v>0.9434</v>
      </c>
      <c r="AF247" s="9">
        <v>0.9662</v>
      </c>
      <c r="AG247" s="9">
        <v>0.9887</v>
      </c>
      <c r="AH247" s="9">
        <v>1.0144</v>
      </c>
      <c r="AI247" s="9">
        <v>1.0352</v>
      </c>
      <c r="AJ247" s="9">
        <v>1.0585</v>
      </c>
      <c r="AK247" s="8"/>
      <c r="AL247" s="8"/>
      <c r="AM247" s="8"/>
      <c r="AN247" s="8"/>
      <c r="AO247" s="8"/>
      <c r="AP247" s="8"/>
      <c r="AQ247" s="8"/>
    </row>
    <row r="248">
      <c r="C248" s="8" t="s">
        <v>116</v>
      </c>
      <c r="D248" s="8" t="s">
        <v>253</v>
      </c>
      <c r="E248" s="8" t="s">
        <v>118</v>
      </c>
      <c r="F248" s="8"/>
      <c r="G248" s="70">
        <v>0.2502</v>
      </c>
      <c r="H248" s="70">
        <v>0.2833</v>
      </c>
      <c r="I248" s="70">
        <v>0.3161</v>
      </c>
      <c r="J248" s="70">
        <v>0.3538</v>
      </c>
      <c r="K248" s="70">
        <v>0.3878</v>
      </c>
      <c r="L248" s="70">
        <v>0.4197</v>
      </c>
      <c r="M248" s="70">
        <v>0.457</v>
      </c>
      <c r="N248" s="70">
        <v>0.491</v>
      </c>
      <c r="O248" s="70">
        <v>0.5308</v>
      </c>
      <c r="P248" s="70">
        <v>0.5627</v>
      </c>
      <c r="Q248" s="70">
        <v>0.5947</v>
      </c>
      <c r="R248" s="70">
        <v>0.6307</v>
      </c>
      <c r="S248" s="70">
        <v>0.6669</v>
      </c>
      <c r="T248" s="70">
        <v>0.6952</v>
      </c>
      <c r="U248" s="70">
        <v>0.7312</v>
      </c>
      <c r="V248" s="70">
        <v>0.766</v>
      </c>
      <c r="W248" s="70">
        <v>0.7987</v>
      </c>
      <c r="X248" s="70">
        <v>0.8314</v>
      </c>
      <c r="Y248" s="70">
        <v>0.8661</v>
      </c>
      <c r="Z248" s="70">
        <v>0.8975</v>
      </c>
      <c r="AA248" s="9">
        <v>0.9319</v>
      </c>
      <c r="AB248" s="9">
        <v>0.962</v>
      </c>
      <c r="AC248" s="9">
        <v>0.9931</v>
      </c>
      <c r="AD248" s="9">
        <v>1.0244</v>
      </c>
      <c r="AE248" s="9">
        <v>1.0605</v>
      </c>
      <c r="AF248" s="9">
        <v>1.0879</v>
      </c>
      <c r="AG248" s="9">
        <v>1.1175</v>
      </c>
      <c r="AH248" s="9">
        <v>1.147</v>
      </c>
      <c r="AI248" s="9">
        <v>1.1751</v>
      </c>
      <c r="AJ248" s="9">
        <v>1.2046</v>
      </c>
      <c r="AK248" s="8"/>
      <c r="AL248" s="8"/>
      <c r="AM248" s="8"/>
      <c r="AN248" s="8"/>
      <c r="AO248" s="8"/>
      <c r="AP248" s="8"/>
      <c r="AQ248" s="8"/>
    </row>
    <row r="249">
      <c r="A249" s="8"/>
      <c r="B249" s="65"/>
      <c r="C249" s="8"/>
      <c r="D249" s="8"/>
      <c r="E249" s="8"/>
      <c r="F249" s="8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</row>
    <row r="250">
      <c r="A250" s="8"/>
      <c r="B250" s="8"/>
      <c r="C250" s="8"/>
      <c r="D250" s="8"/>
      <c r="E250" s="8"/>
      <c r="F250" s="8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</row>
    <row r="251">
      <c r="A251" s="61" t="s">
        <v>135</v>
      </c>
      <c r="C251" s="8" t="s">
        <v>116</v>
      </c>
      <c r="D251" s="8" t="s">
        <v>243</v>
      </c>
      <c r="E251" s="62" t="s">
        <v>118</v>
      </c>
      <c r="F251" s="8"/>
      <c r="G251" s="70">
        <f t="shared" ref="G251:AJ251" si="153">G236-G$312</f>
        <v>0.0454</v>
      </c>
      <c r="H251" s="70">
        <f t="shared" si="153"/>
        <v>0.0761</v>
      </c>
      <c r="I251" s="70">
        <f t="shared" si="153"/>
        <v>0.0991</v>
      </c>
      <c r="J251" s="70">
        <f t="shared" si="153"/>
        <v>0.123</v>
      </c>
      <c r="K251" s="70">
        <f t="shared" si="153"/>
        <v>0.1616</v>
      </c>
      <c r="L251" s="70">
        <f t="shared" si="153"/>
        <v>0.1933</v>
      </c>
      <c r="M251" s="70">
        <f t="shared" si="153"/>
        <v>0.243</v>
      </c>
      <c r="N251" s="70">
        <f t="shared" si="153"/>
        <v>0.2453</v>
      </c>
      <c r="O251" s="70">
        <f t="shared" si="153"/>
        <v>0.2633</v>
      </c>
      <c r="P251" s="70">
        <f t="shared" si="153"/>
        <v>0.3319</v>
      </c>
      <c r="Q251" s="70">
        <f t="shared" si="153"/>
        <v>0.3575</v>
      </c>
      <c r="R251" s="70">
        <f t="shared" si="153"/>
        <v>0.3969</v>
      </c>
      <c r="S251" s="70">
        <f t="shared" si="153"/>
        <v>0.4288</v>
      </c>
      <c r="T251" s="70">
        <f t="shared" si="153"/>
        <v>0.486</v>
      </c>
      <c r="U251" s="70">
        <f t="shared" si="153"/>
        <v>0.5058</v>
      </c>
      <c r="V251" s="70">
        <f t="shared" si="153"/>
        <v>0.5372</v>
      </c>
      <c r="W251" s="70">
        <f t="shared" si="153"/>
        <v>0.5833</v>
      </c>
      <c r="X251" s="70">
        <f t="shared" si="153"/>
        <v>0.6275</v>
      </c>
      <c r="Y251" s="70">
        <f t="shared" si="153"/>
        <v>0.6847</v>
      </c>
      <c r="Z251" s="70">
        <f t="shared" si="153"/>
        <v>0.7319</v>
      </c>
      <c r="AA251" s="70">
        <f t="shared" si="153"/>
        <v>0.7584</v>
      </c>
      <c r="AB251" s="70">
        <f t="shared" si="153"/>
        <v>0.8205</v>
      </c>
      <c r="AC251" s="70">
        <f t="shared" si="153"/>
        <v>0.8722</v>
      </c>
      <c r="AD251" s="70">
        <f t="shared" si="153"/>
        <v>0.8821</v>
      </c>
      <c r="AE251" s="70">
        <f t="shared" si="153"/>
        <v>0.918</v>
      </c>
      <c r="AF251" s="70">
        <f t="shared" si="153"/>
        <v>0.9996</v>
      </c>
      <c r="AG251" s="70">
        <f t="shared" si="153"/>
        <v>1.0346</v>
      </c>
      <c r="AH251" s="70">
        <f t="shared" si="153"/>
        <v>1.0812</v>
      </c>
      <c r="AI251" s="70">
        <f t="shared" si="153"/>
        <v>1.1209</v>
      </c>
      <c r="AJ251" s="70">
        <f t="shared" si="153"/>
        <v>1.1803</v>
      </c>
      <c r="AK251" s="8"/>
      <c r="AL251" s="8"/>
      <c r="AM251" s="8"/>
      <c r="AN251" s="8"/>
      <c r="AO251" s="8"/>
      <c r="AP251" s="8"/>
      <c r="AQ251" s="8"/>
    </row>
    <row r="252">
      <c r="C252" s="8" t="s">
        <v>116</v>
      </c>
      <c r="D252" s="8" t="s">
        <v>244</v>
      </c>
      <c r="E252" s="62" t="s">
        <v>118</v>
      </c>
      <c r="F252" s="8"/>
      <c r="G252" s="70">
        <f t="shared" ref="G252:AJ252" si="154">G237-G$312</f>
        <v>0.0521</v>
      </c>
      <c r="H252" s="70">
        <f t="shared" si="154"/>
        <v>0.075</v>
      </c>
      <c r="I252" s="70">
        <f t="shared" si="154"/>
        <v>0.0981</v>
      </c>
      <c r="J252" s="70">
        <f t="shared" si="154"/>
        <v>0.1513</v>
      </c>
      <c r="K252" s="70">
        <f t="shared" si="154"/>
        <v>0.2187</v>
      </c>
      <c r="L252" s="70">
        <f t="shared" si="154"/>
        <v>0.2145</v>
      </c>
      <c r="M252" s="70">
        <f t="shared" si="154"/>
        <v>0.2473</v>
      </c>
      <c r="N252" s="70">
        <f t="shared" si="154"/>
        <v>0.2229</v>
      </c>
      <c r="O252" s="70">
        <f t="shared" si="154"/>
        <v>0.2133</v>
      </c>
      <c r="P252" s="70">
        <f t="shared" si="154"/>
        <v>0.2619</v>
      </c>
      <c r="Q252" s="70">
        <f t="shared" si="154"/>
        <v>0.2987</v>
      </c>
      <c r="R252" s="70">
        <f t="shared" si="154"/>
        <v>0.2912</v>
      </c>
      <c r="S252" s="70">
        <f t="shared" si="154"/>
        <v>0.3304</v>
      </c>
      <c r="T252" s="70">
        <f t="shared" si="154"/>
        <v>0.3675</v>
      </c>
      <c r="U252" s="70">
        <f t="shared" si="154"/>
        <v>0.3846</v>
      </c>
      <c r="V252" s="70">
        <f t="shared" si="154"/>
        <v>0.4169</v>
      </c>
      <c r="W252" s="70">
        <f t="shared" si="154"/>
        <v>0.448</v>
      </c>
      <c r="X252" s="70">
        <f t="shared" si="154"/>
        <v>0.4679</v>
      </c>
      <c r="Y252" s="70">
        <f t="shared" si="154"/>
        <v>0.4977</v>
      </c>
      <c r="Z252" s="70">
        <f t="shared" si="154"/>
        <v>0.5435</v>
      </c>
      <c r="AA252" s="70">
        <f t="shared" si="154"/>
        <v>0.5393</v>
      </c>
      <c r="AB252" s="70">
        <f t="shared" si="154"/>
        <v>0.5659</v>
      </c>
      <c r="AC252" s="70">
        <f t="shared" si="154"/>
        <v>0.6031</v>
      </c>
      <c r="AD252" s="70">
        <f t="shared" si="154"/>
        <v>0.5981</v>
      </c>
      <c r="AE252" s="70">
        <f t="shared" si="154"/>
        <v>0.6161</v>
      </c>
      <c r="AF252" s="70">
        <f t="shared" si="154"/>
        <v>0.6833</v>
      </c>
      <c r="AG252" s="70">
        <f t="shared" si="154"/>
        <v>0.7042</v>
      </c>
      <c r="AH252" s="70">
        <f t="shared" si="154"/>
        <v>0.7348</v>
      </c>
      <c r="AI252" s="70">
        <f t="shared" si="154"/>
        <v>0.7641</v>
      </c>
      <c r="AJ252" s="70">
        <f t="shared" si="154"/>
        <v>0.8249</v>
      </c>
      <c r="AK252" s="8"/>
      <c r="AL252" s="8"/>
      <c r="AM252" s="8"/>
      <c r="AN252" s="8"/>
      <c r="AO252" s="8"/>
      <c r="AP252" s="8"/>
      <c r="AQ252" s="8"/>
    </row>
    <row r="253">
      <c r="C253" s="8" t="s">
        <v>116</v>
      </c>
      <c r="D253" s="8" t="s">
        <v>243</v>
      </c>
      <c r="E253" s="62" t="s">
        <v>118</v>
      </c>
      <c r="F253" s="8"/>
      <c r="G253" s="70">
        <f t="shared" ref="G253:AJ253" si="155">G238-G$312</f>
        <v>0.0647</v>
      </c>
      <c r="H253" s="70">
        <f t="shared" si="155"/>
        <v>0.0975</v>
      </c>
      <c r="I253" s="70">
        <f t="shared" si="155"/>
        <v>0.1213</v>
      </c>
      <c r="J253" s="70">
        <f t="shared" si="155"/>
        <v>0.1498</v>
      </c>
      <c r="K253" s="70">
        <f t="shared" si="155"/>
        <v>0.1909</v>
      </c>
      <c r="L253" s="70">
        <f t="shared" si="155"/>
        <v>0.2229</v>
      </c>
      <c r="M253" s="70">
        <f t="shared" si="155"/>
        <v>0.2706</v>
      </c>
      <c r="N253" s="70">
        <f t="shared" si="155"/>
        <v>0.2764</v>
      </c>
      <c r="O253" s="70">
        <f t="shared" si="155"/>
        <v>0.292</v>
      </c>
      <c r="P253" s="70">
        <f t="shared" si="155"/>
        <v>0.3659</v>
      </c>
      <c r="Q253" s="70">
        <f t="shared" si="155"/>
        <v>0.3906</v>
      </c>
      <c r="R253" s="70">
        <f t="shared" si="155"/>
        <v>0.431</v>
      </c>
      <c r="S253" s="70">
        <f t="shared" si="155"/>
        <v>0.4664</v>
      </c>
      <c r="T253" s="70">
        <f t="shared" si="155"/>
        <v>0.5266</v>
      </c>
      <c r="U253" s="70">
        <f t="shared" si="155"/>
        <v>0.5554</v>
      </c>
      <c r="V253" s="70">
        <f t="shared" si="155"/>
        <v>0.5892</v>
      </c>
      <c r="W253" s="70">
        <f t="shared" si="155"/>
        <v>0.6319</v>
      </c>
      <c r="X253" s="70">
        <f t="shared" si="155"/>
        <v>0.6721</v>
      </c>
      <c r="Y253" s="70">
        <f t="shared" si="155"/>
        <v>0.7308</v>
      </c>
      <c r="Z253" s="70">
        <f t="shared" si="155"/>
        <v>0.776</v>
      </c>
      <c r="AA253" s="70">
        <f t="shared" si="155"/>
        <v>0.8026</v>
      </c>
      <c r="AB253" s="70">
        <f t="shared" si="155"/>
        <v>0.8686</v>
      </c>
      <c r="AC253" s="70">
        <f t="shared" si="155"/>
        <v>0.9191</v>
      </c>
      <c r="AD253" s="70">
        <f t="shared" si="155"/>
        <v>0.9332</v>
      </c>
      <c r="AE253" s="70">
        <f t="shared" si="155"/>
        <v>0.9695</v>
      </c>
      <c r="AF253" s="70">
        <f t="shared" si="155"/>
        <v>1.0513</v>
      </c>
      <c r="AG253" s="70">
        <f t="shared" si="155"/>
        <v>1.0882</v>
      </c>
      <c r="AH253" s="70">
        <f t="shared" si="155"/>
        <v>1.1352</v>
      </c>
      <c r="AI253" s="70">
        <f t="shared" si="155"/>
        <v>1.1755</v>
      </c>
      <c r="AJ253" s="70">
        <f t="shared" si="155"/>
        <v>1.2379</v>
      </c>
      <c r="AK253" s="8"/>
      <c r="AL253" s="8"/>
      <c r="AM253" s="8"/>
      <c r="AN253" s="8"/>
      <c r="AO253" s="8"/>
      <c r="AP253" s="8"/>
      <c r="AQ253" s="8"/>
    </row>
    <row r="254">
      <c r="C254" s="8" t="s">
        <v>116</v>
      </c>
      <c r="D254" s="8" t="s">
        <v>244</v>
      </c>
      <c r="E254" s="62" t="s">
        <v>118</v>
      </c>
      <c r="F254" s="8"/>
      <c r="G254" s="70">
        <f t="shared" ref="G254:AJ254" si="156">G239-G$312</f>
        <v>0.0827</v>
      </c>
      <c r="H254" s="70">
        <f t="shared" si="156"/>
        <v>0.1019</v>
      </c>
      <c r="I254" s="70">
        <f t="shared" si="156"/>
        <v>0.1103</v>
      </c>
      <c r="J254" s="70">
        <f t="shared" si="156"/>
        <v>0.1307</v>
      </c>
      <c r="K254" s="70">
        <f t="shared" si="156"/>
        <v>0.1544</v>
      </c>
      <c r="L254" s="70">
        <f t="shared" si="156"/>
        <v>0.1829</v>
      </c>
      <c r="M254" s="70">
        <f t="shared" si="156"/>
        <v>0.2267</v>
      </c>
      <c r="N254" s="70">
        <f t="shared" si="156"/>
        <v>0.2194</v>
      </c>
      <c r="O254" s="70">
        <f t="shared" si="156"/>
        <v>0.2157</v>
      </c>
      <c r="P254" s="70">
        <f t="shared" si="156"/>
        <v>0.3064</v>
      </c>
      <c r="Q254" s="70">
        <f t="shared" si="156"/>
        <v>0.3062</v>
      </c>
      <c r="R254" s="70">
        <f t="shared" si="156"/>
        <v>0.3471</v>
      </c>
      <c r="S254" s="70">
        <f t="shared" si="156"/>
        <v>0.3377</v>
      </c>
      <c r="T254" s="70">
        <f t="shared" si="156"/>
        <v>0.3891</v>
      </c>
      <c r="U254" s="70">
        <f t="shared" si="156"/>
        <v>0.4076</v>
      </c>
      <c r="V254" s="70">
        <f t="shared" si="156"/>
        <v>0.3994</v>
      </c>
      <c r="W254" s="70">
        <f t="shared" si="156"/>
        <v>0.4271</v>
      </c>
      <c r="X254" s="70">
        <f t="shared" si="156"/>
        <v>0.4474</v>
      </c>
      <c r="Y254" s="70">
        <f t="shared" si="156"/>
        <v>0.4921</v>
      </c>
      <c r="Z254" s="70">
        <f t="shared" si="156"/>
        <v>0.5187</v>
      </c>
      <c r="AA254" s="70">
        <f t="shared" si="156"/>
        <v>0.5219</v>
      </c>
      <c r="AB254" s="70">
        <f t="shared" si="156"/>
        <v>0.5599</v>
      </c>
      <c r="AC254" s="70">
        <f t="shared" si="156"/>
        <v>0.5875</v>
      </c>
      <c r="AD254" s="70">
        <f t="shared" si="156"/>
        <v>0.5967</v>
      </c>
      <c r="AE254" s="70">
        <f t="shared" si="156"/>
        <v>0.5923</v>
      </c>
      <c r="AF254" s="70">
        <f t="shared" si="156"/>
        <v>0.66</v>
      </c>
      <c r="AG254" s="70">
        <f t="shared" si="156"/>
        <v>0.6796</v>
      </c>
      <c r="AH254" s="70">
        <f t="shared" si="156"/>
        <v>0.6935</v>
      </c>
      <c r="AI254" s="70">
        <f t="shared" si="156"/>
        <v>0.706</v>
      </c>
      <c r="AJ254" s="70">
        <f t="shared" si="156"/>
        <v>0.7304</v>
      </c>
      <c r="AK254" s="8"/>
      <c r="AL254" s="8"/>
      <c r="AM254" s="8"/>
      <c r="AN254" s="8"/>
      <c r="AO254" s="8"/>
      <c r="AP254" s="8"/>
      <c r="AQ254" s="8"/>
    </row>
    <row r="255">
      <c r="C255" s="8" t="s">
        <v>116</v>
      </c>
      <c r="D255" s="8" t="s">
        <v>245</v>
      </c>
      <c r="E255" s="62" t="s">
        <v>118</v>
      </c>
      <c r="F255" s="8"/>
      <c r="G255" s="70">
        <f t="shared" ref="G255:AJ255" si="157">G240-G$312</f>
        <v>0.0233</v>
      </c>
      <c r="H255" s="70">
        <f t="shared" si="157"/>
        <v>0.0285</v>
      </c>
      <c r="I255" s="70">
        <f t="shared" si="157"/>
        <v>0.0218</v>
      </c>
      <c r="J255" s="70">
        <f t="shared" si="157"/>
        <v>0.0195</v>
      </c>
      <c r="K255" s="70">
        <f t="shared" si="157"/>
        <v>0.0283</v>
      </c>
      <c r="L255" s="70">
        <f t="shared" si="157"/>
        <v>0.0302</v>
      </c>
      <c r="M255" s="70">
        <f t="shared" si="157"/>
        <v>0.0446</v>
      </c>
      <c r="N255" s="70">
        <f t="shared" si="157"/>
        <v>0.0075</v>
      </c>
      <c r="O255" s="70">
        <f t="shared" si="157"/>
        <v>-0.0107</v>
      </c>
      <c r="P255" s="70">
        <f t="shared" si="157"/>
        <v>0.0315</v>
      </c>
      <c r="Q255" s="70">
        <f t="shared" si="157"/>
        <v>0.0195</v>
      </c>
      <c r="R255" s="70">
        <f t="shared" si="157"/>
        <v>0.0208</v>
      </c>
      <c r="S255" s="70">
        <f t="shared" si="157"/>
        <v>0.017</v>
      </c>
      <c r="T255" s="70">
        <f t="shared" si="157"/>
        <v>0.0358</v>
      </c>
      <c r="U255" s="70">
        <f t="shared" si="157"/>
        <v>0.0257</v>
      </c>
      <c r="V255" s="70">
        <f t="shared" si="157"/>
        <v>0.0163</v>
      </c>
      <c r="W255" s="70">
        <f t="shared" si="157"/>
        <v>0.015</v>
      </c>
      <c r="X255" s="70">
        <f t="shared" si="157"/>
        <v>0.0141</v>
      </c>
      <c r="Y255" s="70">
        <f t="shared" si="157"/>
        <v>0.0296</v>
      </c>
      <c r="Z255" s="70">
        <f t="shared" si="157"/>
        <v>0.0302</v>
      </c>
      <c r="AA255" s="70">
        <f t="shared" si="157"/>
        <v>0.0149</v>
      </c>
      <c r="AB255" s="70">
        <f t="shared" si="157"/>
        <v>0.0336</v>
      </c>
      <c r="AC255" s="70">
        <f t="shared" si="157"/>
        <v>0.0417</v>
      </c>
      <c r="AD255" s="70">
        <f t="shared" si="157"/>
        <v>0.0102</v>
      </c>
      <c r="AE255" s="70">
        <f t="shared" si="157"/>
        <v>0.0022</v>
      </c>
      <c r="AF255" s="70">
        <f t="shared" si="157"/>
        <v>0.0391</v>
      </c>
      <c r="AG255" s="70">
        <f t="shared" si="157"/>
        <v>0.0329</v>
      </c>
      <c r="AH255" s="70">
        <f t="shared" si="157"/>
        <v>0.0348</v>
      </c>
      <c r="AI255" s="70">
        <f t="shared" si="157"/>
        <v>0.0309</v>
      </c>
      <c r="AJ255" s="70">
        <f t="shared" si="157"/>
        <v>0.0468</v>
      </c>
      <c r="AK255" s="8"/>
      <c r="AL255" s="8"/>
      <c r="AM255" s="8"/>
      <c r="AN255" s="8"/>
      <c r="AO255" s="8"/>
      <c r="AP255" s="8"/>
      <c r="AQ255" s="8"/>
    </row>
    <row r="256">
      <c r="C256" s="8" t="s">
        <v>116</v>
      </c>
      <c r="D256" s="8" t="s">
        <v>246</v>
      </c>
      <c r="E256" s="62" t="s">
        <v>118</v>
      </c>
      <c r="F256" s="8"/>
      <c r="G256" s="70">
        <f t="shared" ref="G256:AJ256" si="158">G241-G$312</f>
        <v>0.0537</v>
      </c>
      <c r="H256" s="70">
        <f t="shared" si="158"/>
        <v>0.0652</v>
      </c>
      <c r="I256" s="70">
        <f t="shared" si="158"/>
        <v>0.0666</v>
      </c>
      <c r="J256" s="70">
        <f t="shared" si="158"/>
        <v>0.0674</v>
      </c>
      <c r="K256" s="70">
        <f t="shared" si="158"/>
        <v>0.0824</v>
      </c>
      <c r="L256" s="70">
        <f t="shared" si="158"/>
        <v>0.0896</v>
      </c>
      <c r="M256" s="70">
        <f t="shared" si="158"/>
        <v>0.108</v>
      </c>
      <c r="N256" s="70">
        <f t="shared" si="158"/>
        <v>0.0772</v>
      </c>
      <c r="O256" s="70">
        <f t="shared" si="158"/>
        <v>0.0646</v>
      </c>
      <c r="P256" s="70">
        <f t="shared" si="158"/>
        <v>0.1079</v>
      </c>
      <c r="Q256" s="70">
        <f t="shared" si="158"/>
        <v>0.1018</v>
      </c>
      <c r="R256" s="70">
        <f t="shared" si="158"/>
        <v>0.1066</v>
      </c>
      <c r="S256" s="70">
        <f t="shared" si="158"/>
        <v>0.1054</v>
      </c>
      <c r="T256" s="70">
        <f t="shared" si="158"/>
        <v>0.1263</v>
      </c>
      <c r="U256" s="70">
        <f t="shared" si="158"/>
        <v>0.1201</v>
      </c>
      <c r="V256" s="70">
        <f t="shared" si="158"/>
        <v>0.1128</v>
      </c>
      <c r="W256" s="70">
        <f t="shared" si="158"/>
        <v>0.1113</v>
      </c>
      <c r="X256" s="70">
        <f t="shared" si="158"/>
        <v>0.1131</v>
      </c>
      <c r="Y256" s="70">
        <f t="shared" si="158"/>
        <v>0.1293</v>
      </c>
      <c r="Z256" s="70">
        <f t="shared" si="158"/>
        <v>0.1316</v>
      </c>
      <c r="AA256" s="70">
        <f t="shared" si="158"/>
        <v>0.1192</v>
      </c>
      <c r="AB256" s="70">
        <f t="shared" si="158"/>
        <v>0.1361</v>
      </c>
      <c r="AC256" s="70">
        <f t="shared" si="158"/>
        <v>0.1462</v>
      </c>
      <c r="AD256" s="70">
        <f t="shared" si="158"/>
        <v>0.1159</v>
      </c>
      <c r="AE256" s="70">
        <f t="shared" si="158"/>
        <v>0.1103</v>
      </c>
      <c r="AF256" s="70">
        <f t="shared" si="158"/>
        <v>0.1479</v>
      </c>
      <c r="AG256" s="70">
        <f t="shared" si="158"/>
        <v>0.1394</v>
      </c>
      <c r="AH256" s="70">
        <f t="shared" si="158"/>
        <v>0.1462</v>
      </c>
      <c r="AI256" s="70">
        <f t="shared" si="158"/>
        <v>0.1438</v>
      </c>
      <c r="AJ256" s="70">
        <f t="shared" si="158"/>
        <v>0.1531</v>
      </c>
      <c r="AK256" s="8"/>
      <c r="AL256" s="8"/>
      <c r="AM256" s="8"/>
      <c r="AN256" s="8"/>
      <c r="AO256" s="8"/>
      <c r="AP256" s="8"/>
      <c r="AQ256" s="8"/>
    </row>
    <row r="257">
      <c r="C257" s="8" t="s">
        <v>116</v>
      </c>
      <c r="D257" s="8" t="s">
        <v>247</v>
      </c>
      <c r="E257" s="62" t="s">
        <v>118</v>
      </c>
      <c r="F257" s="8"/>
      <c r="G257" s="70">
        <f t="shared" ref="G257:AJ257" si="159">G242-G$312</f>
        <v>0.069</v>
      </c>
      <c r="H257" s="70">
        <f t="shared" si="159"/>
        <v>0.0832</v>
      </c>
      <c r="I257" s="70">
        <f t="shared" si="159"/>
        <v>0.086</v>
      </c>
      <c r="J257" s="70">
        <f t="shared" si="159"/>
        <v>0.0904</v>
      </c>
      <c r="K257" s="70">
        <f t="shared" si="159"/>
        <v>0.1097</v>
      </c>
      <c r="L257" s="70">
        <f t="shared" si="159"/>
        <v>0.1175</v>
      </c>
      <c r="M257" s="70">
        <f t="shared" si="159"/>
        <v>0.1401</v>
      </c>
      <c r="N257" s="70">
        <f t="shared" si="159"/>
        <v>0.1096</v>
      </c>
      <c r="O257" s="70">
        <f t="shared" si="159"/>
        <v>0.097</v>
      </c>
      <c r="P257" s="70">
        <f t="shared" si="159"/>
        <v>0.1493</v>
      </c>
      <c r="Q257" s="70">
        <f t="shared" si="159"/>
        <v>0.1381</v>
      </c>
      <c r="R257" s="70">
        <f t="shared" si="159"/>
        <v>0.1514</v>
      </c>
      <c r="S257" s="70">
        <f t="shared" si="159"/>
        <v>0.1444</v>
      </c>
      <c r="T257" s="70">
        <f t="shared" si="159"/>
        <v>0.1721</v>
      </c>
      <c r="U257" s="70">
        <f t="shared" si="159"/>
        <v>0.1657</v>
      </c>
      <c r="V257" s="70">
        <f t="shared" si="159"/>
        <v>0.1568</v>
      </c>
      <c r="W257" s="70">
        <f t="shared" si="159"/>
        <v>0.1584</v>
      </c>
      <c r="X257" s="70">
        <f t="shared" si="159"/>
        <v>0.1616</v>
      </c>
      <c r="Y257" s="70">
        <f t="shared" si="159"/>
        <v>0.1823</v>
      </c>
      <c r="Z257" s="70">
        <f t="shared" si="159"/>
        <v>0.1816</v>
      </c>
      <c r="AA257" s="70">
        <f t="shared" si="159"/>
        <v>0.171</v>
      </c>
      <c r="AB257" s="70">
        <f t="shared" si="159"/>
        <v>0.1859</v>
      </c>
      <c r="AC257" s="70">
        <f t="shared" si="159"/>
        <v>0.1995</v>
      </c>
      <c r="AD257" s="70">
        <f t="shared" si="159"/>
        <v>0.1685</v>
      </c>
      <c r="AE257" s="70">
        <f t="shared" si="159"/>
        <v>0.1612</v>
      </c>
      <c r="AF257" s="70">
        <f t="shared" si="159"/>
        <v>0.2005</v>
      </c>
      <c r="AG257" s="70">
        <f t="shared" si="159"/>
        <v>0.1973</v>
      </c>
      <c r="AH257" s="70">
        <f t="shared" si="159"/>
        <v>0.1929</v>
      </c>
      <c r="AI257" s="70">
        <f t="shared" si="159"/>
        <v>0.19</v>
      </c>
      <c r="AJ257" s="70">
        <f t="shared" si="159"/>
        <v>0.2046</v>
      </c>
      <c r="AK257" s="8"/>
      <c r="AL257" s="8"/>
      <c r="AM257" s="8"/>
      <c r="AN257" s="8"/>
      <c r="AO257" s="8"/>
      <c r="AP257" s="8"/>
      <c r="AQ257" s="8"/>
    </row>
    <row r="258">
      <c r="C258" s="8" t="s">
        <v>116</v>
      </c>
      <c r="D258" s="8" t="s">
        <v>248</v>
      </c>
      <c r="E258" s="62" t="s">
        <v>118</v>
      </c>
      <c r="F258" s="8"/>
      <c r="G258" s="70">
        <f t="shared" ref="G258:AJ258" si="160">G243-G$312</f>
        <v>0.1021</v>
      </c>
      <c r="H258" s="70">
        <f t="shared" si="160"/>
        <v>0.1235</v>
      </c>
      <c r="I258" s="70">
        <f t="shared" si="160"/>
        <v>0.1305</v>
      </c>
      <c r="J258" s="70">
        <f t="shared" si="160"/>
        <v>0.1423</v>
      </c>
      <c r="K258" s="70">
        <f t="shared" si="160"/>
        <v>0.1673</v>
      </c>
      <c r="L258" s="70">
        <f t="shared" si="160"/>
        <v>0.1815</v>
      </c>
      <c r="M258" s="70">
        <f t="shared" si="160"/>
        <v>0.2101</v>
      </c>
      <c r="N258" s="70">
        <f t="shared" si="160"/>
        <v>0.1887</v>
      </c>
      <c r="O258" s="70">
        <f t="shared" si="160"/>
        <v>0.1854</v>
      </c>
      <c r="P258" s="70">
        <f t="shared" si="160"/>
        <v>0.2393</v>
      </c>
      <c r="Q258" s="70">
        <f t="shared" si="160"/>
        <v>0.2378</v>
      </c>
      <c r="R258" s="70">
        <f t="shared" si="160"/>
        <v>0.2533</v>
      </c>
      <c r="S258" s="70">
        <f t="shared" si="160"/>
        <v>0.2641</v>
      </c>
      <c r="T258" s="70">
        <f t="shared" si="160"/>
        <v>0.2931</v>
      </c>
      <c r="U258" s="70">
        <f t="shared" si="160"/>
        <v>0.2965</v>
      </c>
      <c r="V258" s="70">
        <f t="shared" si="160"/>
        <v>0.2947</v>
      </c>
      <c r="W258" s="70">
        <f t="shared" si="160"/>
        <v>0.3053</v>
      </c>
      <c r="X258" s="70">
        <f t="shared" si="160"/>
        <v>0.3152</v>
      </c>
      <c r="Y258" s="70">
        <f t="shared" si="160"/>
        <v>0.3304</v>
      </c>
      <c r="Z258" s="70">
        <f t="shared" si="160"/>
        <v>0.3478</v>
      </c>
      <c r="AA258" s="70">
        <f t="shared" si="160"/>
        <v>0.3412</v>
      </c>
      <c r="AB258" s="70">
        <f t="shared" si="160"/>
        <v>0.3616</v>
      </c>
      <c r="AC258" s="70">
        <f t="shared" si="160"/>
        <v>0.3668</v>
      </c>
      <c r="AD258" s="70">
        <f t="shared" si="160"/>
        <v>0.3463</v>
      </c>
      <c r="AE258" s="70">
        <f t="shared" si="160"/>
        <v>0.3363</v>
      </c>
      <c r="AF258" s="70">
        <f t="shared" si="160"/>
        <v>0.3861</v>
      </c>
      <c r="AG258" s="70">
        <f t="shared" si="160"/>
        <v>0.3835</v>
      </c>
      <c r="AH258" s="70">
        <f t="shared" si="160"/>
        <v>0.394</v>
      </c>
      <c r="AI258" s="70">
        <f t="shared" si="160"/>
        <v>0.3832</v>
      </c>
      <c r="AJ258" s="70">
        <f t="shared" si="160"/>
        <v>0.4101</v>
      </c>
      <c r="AK258" s="8"/>
      <c r="AL258" s="8"/>
      <c r="AM258" s="8"/>
      <c r="AN258" s="8"/>
      <c r="AO258" s="8"/>
      <c r="AP258" s="8"/>
      <c r="AQ258" s="8"/>
    </row>
    <row r="259">
      <c r="C259" s="8" t="s">
        <v>116</v>
      </c>
      <c r="D259" s="8" t="s">
        <v>249</v>
      </c>
      <c r="E259" s="62" t="s">
        <v>118</v>
      </c>
      <c r="F259" s="8"/>
      <c r="G259" s="70">
        <f t="shared" ref="G259:AJ259" si="161">G244-G$312</f>
        <v>0.1185</v>
      </c>
      <c r="H259" s="70">
        <f t="shared" si="161"/>
        <v>0.1365</v>
      </c>
      <c r="I259" s="70">
        <f t="shared" si="161"/>
        <v>0.1455</v>
      </c>
      <c r="J259" s="70">
        <f t="shared" si="161"/>
        <v>0.1597</v>
      </c>
      <c r="K259" s="70">
        <f t="shared" si="161"/>
        <v>0.1845</v>
      </c>
      <c r="L259" s="70">
        <f t="shared" si="161"/>
        <v>0.2061</v>
      </c>
      <c r="M259" s="70">
        <f t="shared" si="161"/>
        <v>0.2324</v>
      </c>
      <c r="N259" s="70">
        <f t="shared" si="161"/>
        <v>0.2158</v>
      </c>
      <c r="O259" s="70">
        <f t="shared" si="161"/>
        <v>0.2105</v>
      </c>
      <c r="P259" s="70">
        <f t="shared" si="161"/>
        <v>0.2634</v>
      </c>
      <c r="Q259" s="70">
        <f t="shared" si="161"/>
        <v>0.2702</v>
      </c>
      <c r="R259" s="70">
        <f t="shared" si="161"/>
        <v>0.2834</v>
      </c>
      <c r="S259" s="70">
        <f t="shared" si="161"/>
        <v>0.2938</v>
      </c>
      <c r="T259" s="70">
        <f t="shared" si="161"/>
        <v>0.3332</v>
      </c>
      <c r="U259" s="70">
        <f t="shared" si="161"/>
        <v>0.3332</v>
      </c>
      <c r="V259" s="70">
        <f t="shared" si="161"/>
        <v>0.3313</v>
      </c>
      <c r="W259" s="70">
        <f t="shared" si="161"/>
        <v>0.3467</v>
      </c>
      <c r="X259" s="70">
        <f t="shared" si="161"/>
        <v>0.3535</v>
      </c>
      <c r="Y259" s="70">
        <f t="shared" si="161"/>
        <v>0.3817</v>
      </c>
      <c r="Z259" s="70">
        <f t="shared" si="161"/>
        <v>0.392</v>
      </c>
      <c r="AA259" s="70">
        <f t="shared" si="161"/>
        <v>0.3799</v>
      </c>
      <c r="AB259" s="70">
        <f t="shared" si="161"/>
        <v>0.4176</v>
      </c>
      <c r="AC259" s="70">
        <f t="shared" si="161"/>
        <v>0.4192</v>
      </c>
      <c r="AD259" s="70">
        <f t="shared" si="161"/>
        <v>0.4061</v>
      </c>
      <c r="AE259" s="70">
        <f t="shared" si="161"/>
        <v>0.4094</v>
      </c>
      <c r="AF259" s="70">
        <f t="shared" si="161"/>
        <v>0.4405</v>
      </c>
      <c r="AG259" s="70">
        <f t="shared" si="161"/>
        <v>0.4699</v>
      </c>
      <c r="AH259" s="70">
        <f t="shared" si="161"/>
        <v>0.4515</v>
      </c>
      <c r="AI259" s="70">
        <f t="shared" si="161"/>
        <v>0.4637</v>
      </c>
      <c r="AJ259" s="70">
        <f t="shared" si="161"/>
        <v>0.4734</v>
      </c>
      <c r="AK259" s="8"/>
      <c r="AL259" s="8"/>
      <c r="AM259" s="8"/>
      <c r="AN259" s="8"/>
      <c r="AO259" s="8"/>
      <c r="AP259" s="8"/>
      <c r="AQ259" s="8"/>
    </row>
    <row r="260">
      <c r="C260" s="8" t="s">
        <v>116</v>
      </c>
      <c r="D260" s="8" t="s">
        <v>250</v>
      </c>
      <c r="E260" s="62" t="s">
        <v>118</v>
      </c>
      <c r="F260" s="8"/>
      <c r="G260" s="70">
        <f t="shared" ref="G260:AJ260" si="162">G245-G$312</f>
        <v>0.1312</v>
      </c>
      <c r="H260" s="70">
        <f t="shared" si="162"/>
        <v>0.1553</v>
      </c>
      <c r="I260" s="70">
        <f t="shared" si="162"/>
        <v>0.1666</v>
      </c>
      <c r="J260" s="70">
        <f t="shared" si="162"/>
        <v>0.1811</v>
      </c>
      <c r="K260" s="70">
        <f t="shared" si="162"/>
        <v>0.2092</v>
      </c>
      <c r="L260" s="70">
        <f t="shared" si="162"/>
        <v>0.2302</v>
      </c>
      <c r="M260" s="70">
        <f t="shared" si="162"/>
        <v>0.262</v>
      </c>
      <c r="N260" s="70">
        <f t="shared" si="162"/>
        <v>0.2451</v>
      </c>
      <c r="O260" s="70">
        <f t="shared" si="162"/>
        <v>0.244</v>
      </c>
      <c r="P260" s="70">
        <f t="shared" si="162"/>
        <v>0.3069</v>
      </c>
      <c r="Q260" s="70">
        <f t="shared" si="162"/>
        <v>0.3097</v>
      </c>
      <c r="R260" s="70">
        <f t="shared" si="162"/>
        <v>0.3296</v>
      </c>
      <c r="S260" s="70">
        <f t="shared" si="162"/>
        <v>0.3447</v>
      </c>
      <c r="T260" s="70">
        <f t="shared" si="162"/>
        <v>0.3777</v>
      </c>
      <c r="U260" s="70">
        <f t="shared" si="162"/>
        <v>0.3823</v>
      </c>
      <c r="V260" s="70">
        <f t="shared" si="162"/>
        <v>0.3884</v>
      </c>
      <c r="W260" s="70">
        <f t="shared" si="162"/>
        <v>0.4022</v>
      </c>
      <c r="X260" s="70">
        <f t="shared" si="162"/>
        <v>0.4154</v>
      </c>
      <c r="Y260" s="70">
        <f t="shared" si="162"/>
        <v>0.4438</v>
      </c>
      <c r="Z260" s="70">
        <f t="shared" si="162"/>
        <v>0.4573</v>
      </c>
      <c r="AA260" s="70">
        <f t="shared" si="162"/>
        <v>0.4547</v>
      </c>
      <c r="AB260" s="70">
        <f t="shared" si="162"/>
        <v>0.4837</v>
      </c>
      <c r="AC260" s="70">
        <f t="shared" si="162"/>
        <v>0.5027</v>
      </c>
      <c r="AD260" s="70">
        <f t="shared" si="162"/>
        <v>0.4802</v>
      </c>
      <c r="AE260" s="70">
        <f t="shared" si="162"/>
        <v>0.4818</v>
      </c>
      <c r="AF260" s="70">
        <f t="shared" si="162"/>
        <v>0.524</v>
      </c>
      <c r="AG260" s="70">
        <f t="shared" si="162"/>
        <v>0.5237</v>
      </c>
      <c r="AH260" s="70">
        <f t="shared" si="162"/>
        <v>0.5367</v>
      </c>
      <c r="AI260" s="70">
        <f t="shared" si="162"/>
        <v>0.5342</v>
      </c>
      <c r="AJ260" s="70">
        <f t="shared" si="162"/>
        <v>0.5579</v>
      </c>
      <c r="AK260" s="8"/>
      <c r="AL260" s="8"/>
      <c r="AM260" s="8"/>
      <c r="AN260" s="8"/>
      <c r="AO260" s="8"/>
      <c r="AP260" s="8"/>
      <c r="AQ260" s="8"/>
    </row>
    <row r="261">
      <c r="C261" s="8" t="s">
        <v>116</v>
      </c>
      <c r="D261" s="8" t="s">
        <v>251</v>
      </c>
      <c r="E261" s="62" t="s">
        <v>118</v>
      </c>
      <c r="F261" s="8"/>
      <c r="G261" s="70">
        <f t="shared" ref="G261:AJ261" si="163">G246-G$312</f>
        <v>0.1554</v>
      </c>
      <c r="H261" s="70">
        <f t="shared" si="163"/>
        <v>0.1802</v>
      </c>
      <c r="I261" s="70">
        <f t="shared" si="163"/>
        <v>0.1954</v>
      </c>
      <c r="J261" s="70">
        <f t="shared" si="163"/>
        <v>0.2045</v>
      </c>
      <c r="K261" s="70">
        <f t="shared" si="163"/>
        <v>0.2373</v>
      </c>
      <c r="L261" s="70">
        <f t="shared" si="163"/>
        <v>0.2667</v>
      </c>
      <c r="M261" s="70">
        <f t="shared" si="163"/>
        <v>0.3018</v>
      </c>
      <c r="N261" s="70">
        <f t="shared" si="163"/>
        <v>0.2861</v>
      </c>
      <c r="O261" s="70">
        <f t="shared" si="163"/>
        <v>0.281</v>
      </c>
      <c r="P261" s="70">
        <f t="shared" si="163"/>
        <v>0.3458</v>
      </c>
      <c r="Q261" s="70">
        <f t="shared" si="163"/>
        <v>0.356</v>
      </c>
      <c r="R261" s="70">
        <f t="shared" si="163"/>
        <v>0.3762</v>
      </c>
      <c r="S261" s="70">
        <f t="shared" si="163"/>
        <v>0.4018</v>
      </c>
      <c r="T261" s="70">
        <f t="shared" si="163"/>
        <v>0.4317</v>
      </c>
      <c r="U261" s="70">
        <f t="shared" si="163"/>
        <v>0.446</v>
      </c>
      <c r="V261" s="70">
        <f t="shared" si="163"/>
        <v>0.4518</v>
      </c>
      <c r="W261" s="70">
        <f t="shared" si="163"/>
        <v>0.4811</v>
      </c>
      <c r="X261" s="70">
        <f t="shared" si="163"/>
        <v>0.4974</v>
      </c>
      <c r="Y261" s="70">
        <f t="shared" si="163"/>
        <v>0.532</v>
      </c>
      <c r="Z261" s="70">
        <f t="shared" si="163"/>
        <v>0.5608</v>
      </c>
      <c r="AA261" s="70">
        <f t="shared" si="163"/>
        <v>0.547</v>
      </c>
      <c r="AB261" s="70">
        <f t="shared" si="163"/>
        <v>0.5942</v>
      </c>
      <c r="AC261" s="70">
        <f t="shared" si="163"/>
        <v>0.6549</v>
      </c>
      <c r="AD261" s="70">
        <f t="shared" si="163"/>
        <v>0.5972</v>
      </c>
      <c r="AE261" s="70">
        <f t="shared" si="163"/>
        <v>0.6008</v>
      </c>
      <c r="AF261" s="70">
        <f t="shared" si="163"/>
        <v>0.6463</v>
      </c>
      <c r="AG261" s="70">
        <f t="shared" si="163"/>
        <v>0.683</v>
      </c>
      <c r="AH261" s="70">
        <f t="shared" si="163"/>
        <v>0.6793</v>
      </c>
      <c r="AI261" s="70">
        <f t="shared" si="163"/>
        <v>0.702</v>
      </c>
      <c r="AJ261" s="70">
        <f t="shared" si="163"/>
        <v>0.7315</v>
      </c>
      <c r="AK261" s="8"/>
      <c r="AL261" s="8"/>
      <c r="AM261" s="8"/>
      <c r="AN261" s="8"/>
      <c r="AO261" s="8"/>
      <c r="AP261" s="8"/>
      <c r="AQ261" s="8"/>
    </row>
    <row r="262">
      <c r="C262" s="8" t="s">
        <v>116</v>
      </c>
      <c r="D262" s="8" t="s">
        <v>252</v>
      </c>
      <c r="E262" s="62" t="s">
        <v>118</v>
      </c>
      <c r="F262" s="8"/>
      <c r="G262" s="70">
        <f t="shared" ref="G262:AJ262" si="164">G247-G$312</f>
        <v>0.1805</v>
      </c>
      <c r="H262" s="70">
        <f t="shared" si="164"/>
        <v>0.2117</v>
      </c>
      <c r="I262" s="70">
        <f t="shared" si="164"/>
        <v>0.2321</v>
      </c>
      <c r="J262" s="70">
        <f t="shared" si="164"/>
        <v>0.2499</v>
      </c>
      <c r="K262" s="70">
        <f t="shared" si="164"/>
        <v>0.2902</v>
      </c>
      <c r="L262" s="70">
        <f t="shared" si="164"/>
        <v>0.3213</v>
      </c>
      <c r="M262" s="70">
        <f t="shared" si="164"/>
        <v>0.3621</v>
      </c>
      <c r="N262" s="70">
        <f t="shared" si="164"/>
        <v>0.351</v>
      </c>
      <c r="O262" s="70">
        <f t="shared" si="164"/>
        <v>0.3599</v>
      </c>
      <c r="P262" s="70">
        <f t="shared" si="164"/>
        <v>0.4344</v>
      </c>
      <c r="Q262" s="70">
        <f t="shared" si="164"/>
        <v>0.4485</v>
      </c>
      <c r="R262" s="70">
        <f t="shared" si="164"/>
        <v>0.4759</v>
      </c>
      <c r="S262" s="70">
        <f t="shared" si="164"/>
        <v>0.503</v>
      </c>
      <c r="T262" s="70">
        <f t="shared" si="164"/>
        <v>0.5534</v>
      </c>
      <c r="U262" s="70">
        <f t="shared" si="164"/>
        <v>0.5789</v>
      </c>
      <c r="V262" s="70">
        <f t="shared" si="164"/>
        <v>0.584</v>
      </c>
      <c r="W262" s="70">
        <f t="shared" si="164"/>
        <v>0.6071</v>
      </c>
      <c r="X262" s="70">
        <f t="shared" si="164"/>
        <v>0.6317</v>
      </c>
      <c r="Y262" s="70">
        <f t="shared" si="164"/>
        <v>0.6709</v>
      </c>
      <c r="Z262" s="70">
        <f t="shared" si="164"/>
        <v>0.7125</v>
      </c>
      <c r="AA262" s="70">
        <f t="shared" si="164"/>
        <v>0.7079</v>
      </c>
      <c r="AB262" s="70">
        <f t="shared" si="164"/>
        <v>0.7498</v>
      </c>
      <c r="AC262" s="70">
        <f t="shared" si="164"/>
        <v>0.7814</v>
      </c>
      <c r="AD262" s="70">
        <f t="shared" si="164"/>
        <v>0.7723</v>
      </c>
      <c r="AE262" s="70">
        <f t="shared" si="164"/>
        <v>0.7887</v>
      </c>
      <c r="AF262" s="70">
        <f t="shared" si="164"/>
        <v>0.8483</v>
      </c>
      <c r="AG262" s="70">
        <f t="shared" si="164"/>
        <v>0.8634</v>
      </c>
      <c r="AH262" s="70">
        <f t="shared" si="164"/>
        <v>0.8904</v>
      </c>
      <c r="AI262" s="70">
        <f t="shared" si="164"/>
        <v>0.907</v>
      </c>
      <c r="AJ262" s="70">
        <f t="shared" si="164"/>
        <v>0.9458</v>
      </c>
      <c r="AK262" s="8"/>
      <c r="AL262" s="8"/>
      <c r="AM262" s="8"/>
      <c r="AN262" s="8"/>
      <c r="AO262" s="8"/>
      <c r="AP262" s="8"/>
      <c r="AQ262" s="8"/>
    </row>
    <row r="263">
      <c r="A263" s="8"/>
      <c r="B263" s="8"/>
      <c r="C263" s="8" t="s">
        <v>116</v>
      </c>
      <c r="D263" s="8" t="s">
        <v>253</v>
      </c>
      <c r="E263" s="8" t="s">
        <v>118</v>
      </c>
      <c r="F263" s="8"/>
      <c r="G263" s="70">
        <f t="shared" ref="G263:AJ263" si="165">G248-G$312</f>
        <v>0.1965</v>
      </c>
      <c r="H263" s="70">
        <f t="shared" si="165"/>
        <v>0.228</v>
      </c>
      <c r="I263" s="70">
        <f t="shared" si="165"/>
        <v>0.2473</v>
      </c>
      <c r="J263" s="70">
        <f t="shared" si="165"/>
        <v>0.2749</v>
      </c>
      <c r="K263" s="70">
        <f t="shared" si="165"/>
        <v>0.3124</v>
      </c>
      <c r="L263" s="70">
        <f t="shared" si="165"/>
        <v>0.3404</v>
      </c>
      <c r="M263" s="70">
        <f t="shared" si="165"/>
        <v>0.3874</v>
      </c>
      <c r="N263" s="70">
        <f t="shared" si="165"/>
        <v>0.3798</v>
      </c>
      <c r="O263" s="70">
        <f t="shared" si="165"/>
        <v>0.3962</v>
      </c>
      <c r="P263" s="70">
        <f t="shared" si="165"/>
        <v>0.4672</v>
      </c>
      <c r="Q263" s="70">
        <f t="shared" si="165"/>
        <v>0.4833</v>
      </c>
      <c r="R263" s="70">
        <f t="shared" si="165"/>
        <v>0.5176</v>
      </c>
      <c r="S263" s="70">
        <f t="shared" si="165"/>
        <v>0.547</v>
      </c>
      <c r="T263" s="70">
        <f t="shared" si="165"/>
        <v>0.5914</v>
      </c>
      <c r="U263" s="70">
        <f t="shared" si="165"/>
        <v>0.6149</v>
      </c>
      <c r="V263" s="70">
        <f t="shared" si="165"/>
        <v>0.6378</v>
      </c>
      <c r="W263" s="70">
        <f t="shared" si="165"/>
        <v>0.6666</v>
      </c>
      <c r="X263" s="70">
        <f t="shared" si="165"/>
        <v>0.697</v>
      </c>
      <c r="Y263" s="70">
        <f t="shared" si="165"/>
        <v>0.7457</v>
      </c>
      <c r="Z263" s="70">
        <f t="shared" si="165"/>
        <v>0.7762</v>
      </c>
      <c r="AA263" s="70">
        <f t="shared" si="165"/>
        <v>0.794</v>
      </c>
      <c r="AB263" s="70">
        <f t="shared" si="165"/>
        <v>0.8417</v>
      </c>
      <c r="AC263" s="70">
        <f t="shared" si="165"/>
        <v>0.8801</v>
      </c>
      <c r="AD263" s="70">
        <f t="shared" si="165"/>
        <v>0.8792</v>
      </c>
      <c r="AE263" s="70">
        <f t="shared" si="165"/>
        <v>0.9058</v>
      </c>
      <c r="AF263" s="70">
        <f t="shared" si="165"/>
        <v>0.97</v>
      </c>
      <c r="AG263" s="70">
        <f t="shared" si="165"/>
        <v>0.9922</v>
      </c>
      <c r="AH263" s="70">
        <f t="shared" si="165"/>
        <v>1.023</v>
      </c>
      <c r="AI263" s="70">
        <f t="shared" si="165"/>
        <v>1.0469</v>
      </c>
      <c r="AJ263" s="70">
        <f t="shared" si="165"/>
        <v>1.0919</v>
      </c>
      <c r="AK263" s="8"/>
      <c r="AL263" s="8"/>
      <c r="AM263" s="8"/>
      <c r="AN263" s="8"/>
      <c r="AO263" s="8"/>
      <c r="AP263" s="8"/>
      <c r="AQ263" s="8"/>
    </row>
    <row r="264">
      <c r="A264" s="8"/>
      <c r="B264" s="8"/>
      <c r="C264" s="8"/>
      <c r="D264" s="8"/>
      <c r="E264" s="8"/>
      <c r="F264" s="8"/>
      <c r="G264" s="86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</row>
    <row r="265">
      <c r="A265" s="61" t="s">
        <v>138</v>
      </c>
      <c r="C265" s="8" t="s">
        <v>116</v>
      </c>
      <c r="D265" s="8" t="s">
        <v>243</v>
      </c>
      <c r="E265" s="62" t="s">
        <v>118</v>
      </c>
      <c r="F265" s="55" t="s">
        <v>139</v>
      </c>
      <c r="G265" s="66">
        <f>20/60</f>
        <v>0.3333333333</v>
      </c>
      <c r="H265" s="66">
        <f t="shared" ref="H265:AJ265" si="166">G265+1/3</f>
        <v>0.6666666667</v>
      </c>
      <c r="I265" s="66">
        <f t="shared" si="166"/>
        <v>1</v>
      </c>
      <c r="J265" s="66">
        <f t="shared" si="166"/>
        <v>1.333333333</v>
      </c>
      <c r="K265" s="66">
        <f t="shared" si="166"/>
        <v>1.666666667</v>
      </c>
      <c r="L265" s="66">
        <f t="shared" si="166"/>
        <v>2</v>
      </c>
      <c r="M265" s="66">
        <f t="shared" si="166"/>
        <v>2.333333333</v>
      </c>
      <c r="N265" s="66">
        <f t="shared" si="166"/>
        <v>2.666666667</v>
      </c>
      <c r="O265" s="66">
        <f t="shared" si="166"/>
        <v>3</v>
      </c>
      <c r="P265" s="66">
        <f t="shared" si="166"/>
        <v>3.333333333</v>
      </c>
      <c r="Q265" s="66">
        <f t="shared" si="166"/>
        <v>3.666666667</v>
      </c>
      <c r="R265" s="66">
        <f t="shared" si="166"/>
        <v>4</v>
      </c>
      <c r="S265" s="66">
        <f t="shared" si="166"/>
        <v>4.333333333</v>
      </c>
      <c r="T265" s="66">
        <f t="shared" si="166"/>
        <v>4.666666667</v>
      </c>
      <c r="U265" s="66">
        <f t="shared" si="166"/>
        <v>5</v>
      </c>
      <c r="V265" s="66">
        <f t="shared" si="166"/>
        <v>5.333333333</v>
      </c>
      <c r="W265" s="66">
        <f t="shared" si="166"/>
        <v>5.666666667</v>
      </c>
      <c r="X265" s="66">
        <f t="shared" si="166"/>
        <v>6</v>
      </c>
      <c r="Y265" s="66">
        <f t="shared" si="166"/>
        <v>6.333333333</v>
      </c>
      <c r="Z265" s="66">
        <f t="shared" si="166"/>
        <v>6.666666667</v>
      </c>
      <c r="AA265" s="66">
        <f t="shared" si="166"/>
        <v>7</v>
      </c>
      <c r="AB265" s="66">
        <f t="shared" si="166"/>
        <v>7.333333333</v>
      </c>
      <c r="AC265" s="66">
        <f t="shared" si="166"/>
        <v>7.666666667</v>
      </c>
      <c r="AD265" s="66">
        <f t="shared" si="166"/>
        <v>8</v>
      </c>
      <c r="AE265" s="66">
        <f t="shared" si="166"/>
        <v>8.333333333</v>
      </c>
      <c r="AF265" s="66">
        <f t="shared" si="166"/>
        <v>8.666666667</v>
      </c>
      <c r="AG265" s="66">
        <f t="shared" si="166"/>
        <v>9</v>
      </c>
      <c r="AH265" s="66">
        <f t="shared" si="166"/>
        <v>9.333333333</v>
      </c>
      <c r="AI265" s="66">
        <f t="shared" si="166"/>
        <v>9.666666667</v>
      </c>
      <c r="AJ265" s="66">
        <f t="shared" si="166"/>
        <v>10</v>
      </c>
      <c r="AK265" s="8"/>
      <c r="AL265" s="8"/>
      <c r="AM265" s="8"/>
      <c r="AN265" s="8"/>
      <c r="AO265" s="8"/>
      <c r="AP265" s="8"/>
      <c r="AQ265" s="8"/>
    </row>
    <row r="266">
      <c r="C266" s="8" t="s">
        <v>116</v>
      </c>
      <c r="D266" s="8" t="s">
        <v>244</v>
      </c>
      <c r="E266" s="62" t="s">
        <v>118</v>
      </c>
      <c r="F266" s="55" t="s">
        <v>139</v>
      </c>
      <c r="G266" s="66">
        <f>23/60</f>
        <v>0.3833333333</v>
      </c>
      <c r="H266" s="66">
        <f t="shared" ref="H266:AJ266" si="167">G266+1/3</f>
        <v>0.7166666667</v>
      </c>
      <c r="I266" s="66">
        <f t="shared" si="167"/>
        <v>1.05</v>
      </c>
      <c r="J266" s="66">
        <f t="shared" si="167"/>
        <v>1.383333333</v>
      </c>
      <c r="K266" s="66">
        <f t="shared" si="167"/>
        <v>1.716666667</v>
      </c>
      <c r="L266" s="66">
        <f t="shared" si="167"/>
        <v>2.05</v>
      </c>
      <c r="M266" s="66">
        <f t="shared" si="167"/>
        <v>2.383333333</v>
      </c>
      <c r="N266" s="66">
        <f t="shared" si="167"/>
        <v>2.716666667</v>
      </c>
      <c r="O266" s="66">
        <f t="shared" si="167"/>
        <v>3.05</v>
      </c>
      <c r="P266" s="66">
        <f t="shared" si="167"/>
        <v>3.383333333</v>
      </c>
      <c r="Q266" s="66">
        <f t="shared" si="167"/>
        <v>3.716666667</v>
      </c>
      <c r="R266" s="66">
        <f t="shared" si="167"/>
        <v>4.05</v>
      </c>
      <c r="S266" s="66">
        <f t="shared" si="167"/>
        <v>4.383333333</v>
      </c>
      <c r="T266" s="66">
        <f t="shared" si="167"/>
        <v>4.716666667</v>
      </c>
      <c r="U266" s="66">
        <f t="shared" si="167"/>
        <v>5.05</v>
      </c>
      <c r="V266" s="66">
        <f t="shared" si="167"/>
        <v>5.383333333</v>
      </c>
      <c r="W266" s="66">
        <f t="shared" si="167"/>
        <v>5.716666667</v>
      </c>
      <c r="X266" s="66">
        <f t="shared" si="167"/>
        <v>6.05</v>
      </c>
      <c r="Y266" s="66">
        <f t="shared" si="167"/>
        <v>6.383333333</v>
      </c>
      <c r="Z266" s="66">
        <f t="shared" si="167"/>
        <v>6.716666667</v>
      </c>
      <c r="AA266" s="66">
        <f t="shared" si="167"/>
        <v>7.05</v>
      </c>
      <c r="AB266" s="66">
        <f t="shared" si="167"/>
        <v>7.383333333</v>
      </c>
      <c r="AC266" s="66">
        <f t="shared" si="167"/>
        <v>7.716666667</v>
      </c>
      <c r="AD266" s="66">
        <f t="shared" si="167"/>
        <v>8.05</v>
      </c>
      <c r="AE266" s="66">
        <f t="shared" si="167"/>
        <v>8.383333333</v>
      </c>
      <c r="AF266" s="66">
        <f t="shared" si="167"/>
        <v>8.716666667</v>
      </c>
      <c r="AG266" s="66">
        <f t="shared" si="167"/>
        <v>9.05</v>
      </c>
      <c r="AH266" s="66">
        <f t="shared" si="167"/>
        <v>9.383333333</v>
      </c>
      <c r="AI266" s="66">
        <f t="shared" si="167"/>
        <v>9.716666667</v>
      </c>
      <c r="AJ266" s="66">
        <f t="shared" si="167"/>
        <v>10.05</v>
      </c>
      <c r="AK266" s="8"/>
      <c r="AL266" s="8"/>
      <c r="AM266" s="8"/>
      <c r="AN266" s="8"/>
      <c r="AO266" s="8"/>
      <c r="AP266" s="8"/>
      <c r="AQ266" s="8"/>
    </row>
    <row r="267">
      <c r="C267" s="8" t="s">
        <v>116</v>
      </c>
      <c r="D267" s="8" t="s">
        <v>243</v>
      </c>
      <c r="E267" s="62" t="s">
        <v>118</v>
      </c>
      <c r="F267" s="55" t="s">
        <v>139</v>
      </c>
      <c r="G267" s="66">
        <f>26/60</f>
        <v>0.4333333333</v>
      </c>
      <c r="H267" s="66">
        <f t="shared" ref="H267:AJ267" si="168">G267+1/3</f>
        <v>0.7666666667</v>
      </c>
      <c r="I267" s="66">
        <f t="shared" si="168"/>
        <v>1.1</v>
      </c>
      <c r="J267" s="66">
        <f t="shared" si="168"/>
        <v>1.433333333</v>
      </c>
      <c r="K267" s="66">
        <f t="shared" si="168"/>
        <v>1.766666667</v>
      </c>
      <c r="L267" s="66">
        <f t="shared" si="168"/>
        <v>2.1</v>
      </c>
      <c r="M267" s="66">
        <f t="shared" si="168"/>
        <v>2.433333333</v>
      </c>
      <c r="N267" s="66">
        <f t="shared" si="168"/>
        <v>2.766666667</v>
      </c>
      <c r="O267" s="66">
        <f t="shared" si="168"/>
        <v>3.1</v>
      </c>
      <c r="P267" s="66">
        <f t="shared" si="168"/>
        <v>3.433333333</v>
      </c>
      <c r="Q267" s="66">
        <f t="shared" si="168"/>
        <v>3.766666667</v>
      </c>
      <c r="R267" s="66">
        <f t="shared" si="168"/>
        <v>4.1</v>
      </c>
      <c r="S267" s="66">
        <f t="shared" si="168"/>
        <v>4.433333333</v>
      </c>
      <c r="T267" s="66">
        <f t="shared" si="168"/>
        <v>4.766666667</v>
      </c>
      <c r="U267" s="66">
        <f t="shared" si="168"/>
        <v>5.1</v>
      </c>
      <c r="V267" s="66">
        <f t="shared" si="168"/>
        <v>5.433333333</v>
      </c>
      <c r="W267" s="66">
        <f t="shared" si="168"/>
        <v>5.766666667</v>
      </c>
      <c r="X267" s="66">
        <f t="shared" si="168"/>
        <v>6.1</v>
      </c>
      <c r="Y267" s="66">
        <f t="shared" si="168"/>
        <v>6.433333333</v>
      </c>
      <c r="Z267" s="66">
        <f t="shared" si="168"/>
        <v>6.766666667</v>
      </c>
      <c r="AA267" s="66">
        <f t="shared" si="168"/>
        <v>7.1</v>
      </c>
      <c r="AB267" s="66">
        <f t="shared" si="168"/>
        <v>7.433333333</v>
      </c>
      <c r="AC267" s="66">
        <f t="shared" si="168"/>
        <v>7.766666667</v>
      </c>
      <c r="AD267" s="66">
        <f t="shared" si="168"/>
        <v>8.1</v>
      </c>
      <c r="AE267" s="66">
        <f t="shared" si="168"/>
        <v>8.433333333</v>
      </c>
      <c r="AF267" s="66">
        <f t="shared" si="168"/>
        <v>8.766666667</v>
      </c>
      <c r="AG267" s="66">
        <f t="shared" si="168"/>
        <v>9.1</v>
      </c>
      <c r="AH267" s="66">
        <f t="shared" si="168"/>
        <v>9.433333333</v>
      </c>
      <c r="AI267" s="66">
        <f t="shared" si="168"/>
        <v>9.766666667</v>
      </c>
      <c r="AJ267" s="66">
        <f t="shared" si="168"/>
        <v>10.1</v>
      </c>
      <c r="AK267" s="8"/>
      <c r="AL267" s="8"/>
      <c r="AM267" s="8"/>
      <c r="AN267" s="8"/>
      <c r="AO267" s="8"/>
      <c r="AP267" s="8"/>
      <c r="AQ267" s="8"/>
    </row>
    <row r="268">
      <c r="C268" s="8" t="s">
        <v>116</v>
      </c>
      <c r="D268" s="8" t="s">
        <v>244</v>
      </c>
      <c r="E268" s="62" t="s">
        <v>118</v>
      </c>
      <c r="F268" s="55" t="s">
        <v>139</v>
      </c>
      <c r="G268" s="66">
        <f>29/60</f>
        <v>0.4833333333</v>
      </c>
      <c r="H268" s="66">
        <f t="shared" ref="H268:AJ268" si="169">G268+1/3</f>
        <v>0.8166666667</v>
      </c>
      <c r="I268" s="66">
        <f t="shared" si="169"/>
        <v>1.15</v>
      </c>
      <c r="J268" s="66">
        <f t="shared" si="169"/>
        <v>1.483333333</v>
      </c>
      <c r="K268" s="66">
        <f t="shared" si="169"/>
        <v>1.816666667</v>
      </c>
      <c r="L268" s="66">
        <f t="shared" si="169"/>
        <v>2.15</v>
      </c>
      <c r="M268" s="66">
        <f t="shared" si="169"/>
        <v>2.483333333</v>
      </c>
      <c r="N268" s="66">
        <f t="shared" si="169"/>
        <v>2.816666667</v>
      </c>
      <c r="O268" s="66">
        <f t="shared" si="169"/>
        <v>3.15</v>
      </c>
      <c r="P268" s="66">
        <f t="shared" si="169"/>
        <v>3.483333333</v>
      </c>
      <c r="Q268" s="66">
        <f t="shared" si="169"/>
        <v>3.816666667</v>
      </c>
      <c r="R268" s="66">
        <f t="shared" si="169"/>
        <v>4.15</v>
      </c>
      <c r="S268" s="66">
        <f t="shared" si="169"/>
        <v>4.483333333</v>
      </c>
      <c r="T268" s="66">
        <f t="shared" si="169"/>
        <v>4.816666667</v>
      </c>
      <c r="U268" s="66">
        <f t="shared" si="169"/>
        <v>5.15</v>
      </c>
      <c r="V268" s="66">
        <f t="shared" si="169"/>
        <v>5.483333333</v>
      </c>
      <c r="W268" s="66">
        <f t="shared" si="169"/>
        <v>5.816666667</v>
      </c>
      <c r="X268" s="66">
        <f t="shared" si="169"/>
        <v>6.15</v>
      </c>
      <c r="Y268" s="66">
        <f t="shared" si="169"/>
        <v>6.483333333</v>
      </c>
      <c r="Z268" s="66">
        <f t="shared" si="169"/>
        <v>6.816666667</v>
      </c>
      <c r="AA268" s="66">
        <f t="shared" si="169"/>
        <v>7.15</v>
      </c>
      <c r="AB268" s="66">
        <f t="shared" si="169"/>
        <v>7.483333333</v>
      </c>
      <c r="AC268" s="66">
        <f t="shared" si="169"/>
        <v>7.816666667</v>
      </c>
      <c r="AD268" s="66">
        <f t="shared" si="169"/>
        <v>8.15</v>
      </c>
      <c r="AE268" s="66">
        <f t="shared" si="169"/>
        <v>8.483333333</v>
      </c>
      <c r="AF268" s="66">
        <f t="shared" si="169"/>
        <v>8.816666667</v>
      </c>
      <c r="AG268" s="66">
        <f t="shared" si="169"/>
        <v>9.15</v>
      </c>
      <c r="AH268" s="66">
        <f t="shared" si="169"/>
        <v>9.483333333</v>
      </c>
      <c r="AI268" s="66">
        <f t="shared" si="169"/>
        <v>9.816666667</v>
      </c>
      <c r="AJ268" s="66">
        <f t="shared" si="169"/>
        <v>10.15</v>
      </c>
      <c r="AK268" s="8"/>
      <c r="AL268" s="8"/>
      <c r="AM268" s="8"/>
      <c r="AN268" s="8"/>
      <c r="AO268" s="8"/>
      <c r="AP268" s="8"/>
      <c r="AQ268" s="8"/>
    </row>
    <row r="269">
      <c r="C269" s="8" t="s">
        <v>116</v>
      </c>
      <c r="D269" s="8" t="s">
        <v>245</v>
      </c>
      <c r="E269" s="62" t="s">
        <v>118</v>
      </c>
      <c r="F269" s="55" t="s">
        <v>139</v>
      </c>
      <c r="G269" s="66">
        <f>32/60</f>
        <v>0.5333333333</v>
      </c>
      <c r="H269" s="66">
        <f t="shared" ref="H269:AJ269" si="170">G269+1/3</f>
        <v>0.8666666667</v>
      </c>
      <c r="I269" s="66">
        <f t="shared" si="170"/>
        <v>1.2</v>
      </c>
      <c r="J269" s="66">
        <f t="shared" si="170"/>
        <v>1.533333333</v>
      </c>
      <c r="K269" s="66">
        <f t="shared" si="170"/>
        <v>1.866666667</v>
      </c>
      <c r="L269" s="66">
        <f t="shared" si="170"/>
        <v>2.2</v>
      </c>
      <c r="M269" s="66">
        <f t="shared" si="170"/>
        <v>2.533333333</v>
      </c>
      <c r="N269" s="66">
        <f t="shared" si="170"/>
        <v>2.866666667</v>
      </c>
      <c r="O269" s="66">
        <f t="shared" si="170"/>
        <v>3.2</v>
      </c>
      <c r="P269" s="66">
        <f t="shared" si="170"/>
        <v>3.533333333</v>
      </c>
      <c r="Q269" s="66">
        <f t="shared" si="170"/>
        <v>3.866666667</v>
      </c>
      <c r="R269" s="66">
        <f t="shared" si="170"/>
        <v>4.2</v>
      </c>
      <c r="S269" s="66">
        <f t="shared" si="170"/>
        <v>4.533333333</v>
      </c>
      <c r="T269" s="66">
        <f t="shared" si="170"/>
        <v>4.866666667</v>
      </c>
      <c r="U269" s="66">
        <f t="shared" si="170"/>
        <v>5.2</v>
      </c>
      <c r="V269" s="66">
        <f t="shared" si="170"/>
        <v>5.533333333</v>
      </c>
      <c r="W269" s="66">
        <f t="shared" si="170"/>
        <v>5.866666667</v>
      </c>
      <c r="X269" s="66">
        <f t="shared" si="170"/>
        <v>6.2</v>
      </c>
      <c r="Y269" s="66">
        <f t="shared" si="170"/>
        <v>6.533333333</v>
      </c>
      <c r="Z269" s="66">
        <f t="shared" si="170"/>
        <v>6.866666667</v>
      </c>
      <c r="AA269" s="66">
        <f t="shared" si="170"/>
        <v>7.2</v>
      </c>
      <c r="AB269" s="66">
        <f t="shared" si="170"/>
        <v>7.533333333</v>
      </c>
      <c r="AC269" s="66">
        <f t="shared" si="170"/>
        <v>7.866666667</v>
      </c>
      <c r="AD269" s="66">
        <f t="shared" si="170"/>
        <v>8.2</v>
      </c>
      <c r="AE269" s="66">
        <f t="shared" si="170"/>
        <v>8.533333333</v>
      </c>
      <c r="AF269" s="66">
        <f t="shared" si="170"/>
        <v>8.866666667</v>
      </c>
      <c r="AG269" s="66">
        <f t="shared" si="170"/>
        <v>9.2</v>
      </c>
      <c r="AH269" s="66">
        <f t="shared" si="170"/>
        <v>9.533333333</v>
      </c>
      <c r="AI269" s="66">
        <f t="shared" si="170"/>
        <v>9.866666667</v>
      </c>
      <c r="AJ269" s="66">
        <f t="shared" si="170"/>
        <v>10.2</v>
      </c>
      <c r="AK269" s="8"/>
      <c r="AL269" s="8"/>
      <c r="AM269" s="8"/>
      <c r="AN269" s="8"/>
      <c r="AO269" s="8"/>
      <c r="AP269" s="8"/>
      <c r="AQ269" s="8"/>
    </row>
    <row r="270">
      <c r="C270" s="8" t="s">
        <v>116</v>
      </c>
      <c r="D270" s="8" t="s">
        <v>246</v>
      </c>
      <c r="E270" s="62" t="s">
        <v>118</v>
      </c>
      <c r="F270" s="55" t="s">
        <v>139</v>
      </c>
      <c r="G270" s="66">
        <f>35/60</f>
        <v>0.5833333333</v>
      </c>
      <c r="H270" s="66">
        <f t="shared" ref="H270:AJ270" si="171">G270+1/3</f>
        <v>0.9166666667</v>
      </c>
      <c r="I270" s="66">
        <f t="shared" si="171"/>
        <v>1.25</v>
      </c>
      <c r="J270" s="66">
        <f t="shared" si="171"/>
        <v>1.583333333</v>
      </c>
      <c r="K270" s="66">
        <f t="shared" si="171"/>
        <v>1.916666667</v>
      </c>
      <c r="L270" s="66">
        <f t="shared" si="171"/>
        <v>2.25</v>
      </c>
      <c r="M270" s="66">
        <f t="shared" si="171"/>
        <v>2.583333333</v>
      </c>
      <c r="N270" s="66">
        <f t="shared" si="171"/>
        <v>2.916666667</v>
      </c>
      <c r="O270" s="66">
        <f t="shared" si="171"/>
        <v>3.25</v>
      </c>
      <c r="P270" s="66">
        <f t="shared" si="171"/>
        <v>3.583333333</v>
      </c>
      <c r="Q270" s="66">
        <f t="shared" si="171"/>
        <v>3.916666667</v>
      </c>
      <c r="R270" s="66">
        <f t="shared" si="171"/>
        <v>4.25</v>
      </c>
      <c r="S270" s="66">
        <f t="shared" si="171"/>
        <v>4.583333333</v>
      </c>
      <c r="T270" s="66">
        <f t="shared" si="171"/>
        <v>4.916666667</v>
      </c>
      <c r="U270" s="66">
        <f t="shared" si="171"/>
        <v>5.25</v>
      </c>
      <c r="V270" s="66">
        <f t="shared" si="171"/>
        <v>5.583333333</v>
      </c>
      <c r="W270" s="66">
        <f t="shared" si="171"/>
        <v>5.916666667</v>
      </c>
      <c r="X270" s="66">
        <f t="shared" si="171"/>
        <v>6.25</v>
      </c>
      <c r="Y270" s="66">
        <f t="shared" si="171"/>
        <v>6.583333333</v>
      </c>
      <c r="Z270" s="66">
        <f t="shared" si="171"/>
        <v>6.916666667</v>
      </c>
      <c r="AA270" s="66">
        <f t="shared" si="171"/>
        <v>7.25</v>
      </c>
      <c r="AB270" s="66">
        <f t="shared" si="171"/>
        <v>7.583333333</v>
      </c>
      <c r="AC270" s="66">
        <f t="shared" si="171"/>
        <v>7.916666667</v>
      </c>
      <c r="AD270" s="66">
        <f t="shared" si="171"/>
        <v>8.25</v>
      </c>
      <c r="AE270" s="66">
        <f t="shared" si="171"/>
        <v>8.583333333</v>
      </c>
      <c r="AF270" s="66">
        <f t="shared" si="171"/>
        <v>8.916666667</v>
      </c>
      <c r="AG270" s="66">
        <f t="shared" si="171"/>
        <v>9.25</v>
      </c>
      <c r="AH270" s="66">
        <f t="shared" si="171"/>
        <v>9.583333333</v>
      </c>
      <c r="AI270" s="66">
        <f t="shared" si="171"/>
        <v>9.916666667</v>
      </c>
      <c r="AJ270" s="66">
        <f t="shared" si="171"/>
        <v>10.25</v>
      </c>
      <c r="AK270" s="8"/>
      <c r="AL270" s="8"/>
      <c r="AM270" s="8"/>
      <c r="AN270" s="8"/>
      <c r="AO270" s="8"/>
      <c r="AP270" s="8"/>
      <c r="AQ270" s="8"/>
    </row>
    <row r="271">
      <c r="C271" s="8" t="s">
        <v>116</v>
      </c>
      <c r="D271" s="8" t="s">
        <v>247</v>
      </c>
      <c r="E271" s="62" t="s">
        <v>118</v>
      </c>
      <c r="F271" s="55" t="s">
        <v>139</v>
      </c>
      <c r="G271" s="66">
        <f>38/60</f>
        <v>0.6333333333</v>
      </c>
      <c r="H271" s="66">
        <f t="shared" ref="H271:AJ271" si="172">G271+1/3</f>
        <v>0.9666666667</v>
      </c>
      <c r="I271" s="66">
        <f t="shared" si="172"/>
        <v>1.3</v>
      </c>
      <c r="J271" s="66">
        <f t="shared" si="172"/>
        <v>1.633333333</v>
      </c>
      <c r="K271" s="66">
        <f t="shared" si="172"/>
        <v>1.966666667</v>
      </c>
      <c r="L271" s="66">
        <f t="shared" si="172"/>
        <v>2.3</v>
      </c>
      <c r="M271" s="66">
        <f t="shared" si="172"/>
        <v>2.633333333</v>
      </c>
      <c r="N271" s="66">
        <f t="shared" si="172"/>
        <v>2.966666667</v>
      </c>
      <c r="O271" s="66">
        <f t="shared" si="172"/>
        <v>3.3</v>
      </c>
      <c r="P271" s="66">
        <f t="shared" si="172"/>
        <v>3.633333333</v>
      </c>
      <c r="Q271" s="66">
        <f t="shared" si="172"/>
        <v>3.966666667</v>
      </c>
      <c r="R271" s="66">
        <f t="shared" si="172"/>
        <v>4.3</v>
      </c>
      <c r="S271" s="66">
        <f t="shared" si="172"/>
        <v>4.633333333</v>
      </c>
      <c r="T271" s="66">
        <f t="shared" si="172"/>
        <v>4.966666667</v>
      </c>
      <c r="U271" s="66">
        <f t="shared" si="172"/>
        <v>5.3</v>
      </c>
      <c r="V271" s="66">
        <f t="shared" si="172"/>
        <v>5.633333333</v>
      </c>
      <c r="W271" s="66">
        <f t="shared" si="172"/>
        <v>5.966666667</v>
      </c>
      <c r="X271" s="66">
        <f t="shared" si="172"/>
        <v>6.3</v>
      </c>
      <c r="Y271" s="66">
        <f t="shared" si="172"/>
        <v>6.633333333</v>
      </c>
      <c r="Z271" s="66">
        <f t="shared" si="172"/>
        <v>6.966666667</v>
      </c>
      <c r="AA271" s="66">
        <f t="shared" si="172"/>
        <v>7.3</v>
      </c>
      <c r="AB271" s="66">
        <f t="shared" si="172"/>
        <v>7.633333333</v>
      </c>
      <c r="AC271" s="66">
        <f t="shared" si="172"/>
        <v>7.966666667</v>
      </c>
      <c r="AD271" s="66">
        <f t="shared" si="172"/>
        <v>8.3</v>
      </c>
      <c r="AE271" s="66">
        <f t="shared" si="172"/>
        <v>8.633333333</v>
      </c>
      <c r="AF271" s="66">
        <f t="shared" si="172"/>
        <v>8.966666667</v>
      </c>
      <c r="AG271" s="66">
        <f t="shared" si="172"/>
        <v>9.3</v>
      </c>
      <c r="AH271" s="66">
        <f t="shared" si="172"/>
        <v>9.633333333</v>
      </c>
      <c r="AI271" s="66">
        <f t="shared" si="172"/>
        <v>9.966666667</v>
      </c>
      <c r="AJ271" s="66">
        <f t="shared" si="172"/>
        <v>10.3</v>
      </c>
      <c r="AK271" s="8"/>
      <c r="AL271" s="8"/>
      <c r="AM271" s="8"/>
      <c r="AN271" s="8"/>
      <c r="AO271" s="8"/>
      <c r="AP271" s="8"/>
      <c r="AQ271" s="8"/>
    </row>
    <row r="272">
      <c r="C272" s="8" t="s">
        <v>116</v>
      </c>
      <c r="D272" s="8" t="s">
        <v>248</v>
      </c>
      <c r="E272" s="62" t="s">
        <v>118</v>
      </c>
      <c r="F272" s="55" t="s">
        <v>139</v>
      </c>
      <c r="G272" s="66">
        <f>41/60</f>
        <v>0.6833333333</v>
      </c>
      <c r="H272" s="66">
        <f t="shared" ref="H272:AJ272" si="173">G272+1/3</f>
        <v>1.016666667</v>
      </c>
      <c r="I272" s="66">
        <f t="shared" si="173"/>
        <v>1.35</v>
      </c>
      <c r="J272" s="66">
        <f t="shared" si="173"/>
        <v>1.683333333</v>
      </c>
      <c r="K272" s="66">
        <f t="shared" si="173"/>
        <v>2.016666667</v>
      </c>
      <c r="L272" s="66">
        <f t="shared" si="173"/>
        <v>2.35</v>
      </c>
      <c r="M272" s="66">
        <f t="shared" si="173"/>
        <v>2.683333333</v>
      </c>
      <c r="N272" s="66">
        <f t="shared" si="173"/>
        <v>3.016666667</v>
      </c>
      <c r="O272" s="66">
        <f t="shared" si="173"/>
        <v>3.35</v>
      </c>
      <c r="P272" s="66">
        <f t="shared" si="173"/>
        <v>3.683333333</v>
      </c>
      <c r="Q272" s="66">
        <f t="shared" si="173"/>
        <v>4.016666667</v>
      </c>
      <c r="R272" s="66">
        <f t="shared" si="173"/>
        <v>4.35</v>
      </c>
      <c r="S272" s="66">
        <f t="shared" si="173"/>
        <v>4.683333333</v>
      </c>
      <c r="T272" s="66">
        <f t="shared" si="173"/>
        <v>5.016666667</v>
      </c>
      <c r="U272" s="66">
        <f t="shared" si="173"/>
        <v>5.35</v>
      </c>
      <c r="V272" s="66">
        <f t="shared" si="173"/>
        <v>5.683333333</v>
      </c>
      <c r="W272" s="66">
        <f t="shared" si="173"/>
        <v>6.016666667</v>
      </c>
      <c r="X272" s="66">
        <f t="shared" si="173"/>
        <v>6.35</v>
      </c>
      <c r="Y272" s="66">
        <f t="shared" si="173"/>
        <v>6.683333333</v>
      </c>
      <c r="Z272" s="66">
        <f t="shared" si="173"/>
        <v>7.016666667</v>
      </c>
      <c r="AA272" s="66">
        <f t="shared" si="173"/>
        <v>7.35</v>
      </c>
      <c r="AB272" s="66">
        <f t="shared" si="173"/>
        <v>7.683333333</v>
      </c>
      <c r="AC272" s="66">
        <f t="shared" si="173"/>
        <v>8.016666667</v>
      </c>
      <c r="AD272" s="66">
        <f t="shared" si="173"/>
        <v>8.35</v>
      </c>
      <c r="AE272" s="66">
        <f t="shared" si="173"/>
        <v>8.683333333</v>
      </c>
      <c r="AF272" s="66">
        <f t="shared" si="173"/>
        <v>9.016666667</v>
      </c>
      <c r="AG272" s="66">
        <f t="shared" si="173"/>
        <v>9.35</v>
      </c>
      <c r="AH272" s="66">
        <f t="shared" si="173"/>
        <v>9.683333333</v>
      </c>
      <c r="AI272" s="66">
        <f t="shared" si="173"/>
        <v>10.01666667</v>
      </c>
      <c r="AJ272" s="66">
        <f t="shared" si="173"/>
        <v>10.35</v>
      </c>
      <c r="AK272" s="8"/>
      <c r="AL272" s="8"/>
      <c r="AM272" s="8"/>
      <c r="AN272" s="8"/>
      <c r="AO272" s="8"/>
      <c r="AP272" s="8"/>
      <c r="AQ272" s="8"/>
    </row>
    <row r="273">
      <c r="C273" s="8" t="s">
        <v>116</v>
      </c>
      <c r="D273" s="8" t="s">
        <v>249</v>
      </c>
      <c r="E273" s="62" t="s">
        <v>118</v>
      </c>
      <c r="F273" s="55" t="s">
        <v>139</v>
      </c>
      <c r="G273" s="66">
        <f>44/60</f>
        <v>0.7333333333</v>
      </c>
      <c r="H273" s="66">
        <f t="shared" ref="H273:AJ273" si="174">G273+1/3</f>
        <v>1.066666667</v>
      </c>
      <c r="I273" s="66">
        <f t="shared" si="174"/>
        <v>1.4</v>
      </c>
      <c r="J273" s="66">
        <f t="shared" si="174"/>
        <v>1.733333333</v>
      </c>
      <c r="K273" s="66">
        <f t="shared" si="174"/>
        <v>2.066666667</v>
      </c>
      <c r="L273" s="66">
        <f t="shared" si="174"/>
        <v>2.4</v>
      </c>
      <c r="M273" s="66">
        <f t="shared" si="174"/>
        <v>2.733333333</v>
      </c>
      <c r="N273" s="66">
        <f t="shared" si="174"/>
        <v>3.066666667</v>
      </c>
      <c r="O273" s="66">
        <f t="shared" si="174"/>
        <v>3.4</v>
      </c>
      <c r="P273" s="66">
        <f t="shared" si="174"/>
        <v>3.733333333</v>
      </c>
      <c r="Q273" s="66">
        <f t="shared" si="174"/>
        <v>4.066666667</v>
      </c>
      <c r="R273" s="66">
        <f t="shared" si="174"/>
        <v>4.4</v>
      </c>
      <c r="S273" s="66">
        <f t="shared" si="174"/>
        <v>4.733333333</v>
      </c>
      <c r="T273" s="66">
        <f t="shared" si="174"/>
        <v>5.066666667</v>
      </c>
      <c r="U273" s="66">
        <f t="shared" si="174"/>
        <v>5.4</v>
      </c>
      <c r="V273" s="66">
        <f t="shared" si="174"/>
        <v>5.733333333</v>
      </c>
      <c r="W273" s="66">
        <f t="shared" si="174"/>
        <v>6.066666667</v>
      </c>
      <c r="X273" s="66">
        <f t="shared" si="174"/>
        <v>6.4</v>
      </c>
      <c r="Y273" s="66">
        <f t="shared" si="174"/>
        <v>6.733333333</v>
      </c>
      <c r="Z273" s="66">
        <f t="shared" si="174"/>
        <v>7.066666667</v>
      </c>
      <c r="AA273" s="66">
        <f t="shared" si="174"/>
        <v>7.4</v>
      </c>
      <c r="AB273" s="66">
        <f t="shared" si="174"/>
        <v>7.733333333</v>
      </c>
      <c r="AC273" s="66">
        <f t="shared" si="174"/>
        <v>8.066666667</v>
      </c>
      <c r="AD273" s="66">
        <f t="shared" si="174"/>
        <v>8.4</v>
      </c>
      <c r="AE273" s="66">
        <f t="shared" si="174"/>
        <v>8.733333333</v>
      </c>
      <c r="AF273" s="66">
        <f t="shared" si="174"/>
        <v>9.066666667</v>
      </c>
      <c r="AG273" s="66">
        <f t="shared" si="174"/>
        <v>9.4</v>
      </c>
      <c r="AH273" s="66">
        <f t="shared" si="174"/>
        <v>9.733333333</v>
      </c>
      <c r="AI273" s="66">
        <f t="shared" si="174"/>
        <v>10.06666667</v>
      </c>
      <c r="AJ273" s="66">
        <f t="shared" si="174"/>
        <v>10.4</v>
      </c>
      <c r="AK273" s="8"/>
      <c r="AL273" s="8"/>
      <c r="AM273" s="8"/>
      <c r="AN273" s="8"/>
      <c r="AO273" s="8"/>
      <c r="AP273" s="8"/>
      <c r="AQ273" s="8"/>
    </row>
    <row r="274">
      <c r="C274" s="8" t="s">
        <v>116</v>
      </c>
      <c r="D274" s="8" t="s">
        <v>250</v>
      </c>
      <c r="E274" s="62" t="s">
        <v>118</v>
      </c>
      <c r="F274" s="55" t="s">
        <v>139</v>
      </c>
      <c r="G274" s="66">
        <f>47/60</f>
        <v>0.7833333333</v>
      </c>
      <c r="H274" s="66">
        <f t="shared" ref="H274:AJ274" si="175">G274+1/3</f>
        <v>1.116666667</v>
      </c>
      <c r="I274" s="66">
        <f t="shared" si="175"/>
        <v>1.45</v>
      </c>
      <c r="J274" s="66">
        <f t="shared" si="175"/>
        <v>1.783333333</v>
      </c>
      <c r="K274" s="66">
        <f t="shared" si="175"/>
        <v>2.116666667</v>
      </c>
      <c r="L274" s="66">
        <f t="shared" si="175"/>
        <v>2.45</v>
      </c>
      <c r="M274" s="66">
        <f t="shared" si="175"/>
        <v>2.783333333</v>
      </c>
      <c r="N274" s="66">
        <f t="shared" si="175"/>
        <v>3.116666667</v>
      </c>
      <c r="O274" s="66">
        <f t="shared" si="175"/>
        <v>3.45</v>
      </c>
      <c r="P274" s="66">
        <f t="shared" si="175"/>
        <v>3.783333333</v>
      </c>
      <c r="Q274" s="66">
        <f t="shared" si="175"/>
        <v>4.116666667</v>
      </c>
      <c r="R274" s="66">
        <f t="shared" si="175"/>
        <v>4.45</v>
      </c>
      <c r="S274" s="66">
        <f t="shared" si="175"/>
        <v>4.783333333</v>
      </c>
      <c r="T274" s="66">
        <f t="shared" si="175"/>
        <v>5.116666667</v>
      </c>
      <c r="U274" s="66">
        <f t="shared" si="175"/>
        <v>5.45</v>
      </c>
      <c r="V274" s="66">
        <f t="shared" si="175"/>
        <v>5.783333333</v>
      </c>
      <c r="W274" s="66">
        <f t="shared" si="175"/>
        <v>6.116666667</v>
      </c>
      <c r="X274" s="66">
        <f t="shared" si="175"/>
        <v>6.45</v>
      </c>
      <c r="Y274" s="66">
        <f t="shared" si="175"/>
        <v>6.783333333</v>
      </c>
      <c r="Z274" s="66">
        <f t="shared" si="175"/>
        <v>7.116666667</v>
      </c>
      <c r="AA274" s="66">
        <f t="shared" si="175"/>
        <v>7.45</v>
      </c>
      <c r="AB274" s="66">
        <f t="shared" si="175"/>
        <v>7.783333333</v>
      </c>
      <c r="AC274" s="66">
        <f t="shared" si="175"/>
        <v>8.116666667</v>
      </c>
      <c r="AD274" s="66">
        <f t="shared" si="175"/>
        <v>8.45</v>
      </c>
      <c r="AE274" s="66">
        <f t="shared" si="175"/>
        <v>8.783333333</v>
      </c>
      <c r="AF274" s="66">
        <f t="shared" si="175"/>
        <v>9.116666667</v>
      </c>
      <c r="AG274" s="66">
        <f t="shared" si="175"/>
        <v>9.45</v>
      </c>
      <c r="AH274" s="66">
        <f t="shared" si="175"/>
        <v>9.783333333</v>
      </c>
      <c r="AI274" s="66">
        <f t="shared" si="175"/>
        <v>10.11666667</v>
      </c>
      <c r="AJ274" s="66">
        <f t="shared" si="175"/>
        <v>10.45</v>
      </c>
      <c r="AK274" s="8"/>
      <c r="AL274" s="8"/>
      <c r="AM274" s="8"/>
      <c r="AN274" s="8"/>
      <c r="AO274" s="8"/>
      <c r="AP274" s="8"/>
      <c r="AQ274" s="8"/>
    </row>
    <row r="275">
      <c r="C275" s="8" t="s">
        <v>116</v>
      </c>
      <c r="D275" s="8" t="s">
        <v>251</v>
      </c>
      <c r="E275" s="62" t="s">
        <v>118</v>
      </c>
      <c r="F275" s="55" t="s">
        <v>139</v>
      </c>
      <c r="G275" s="66">
        <f>50/60</f>
        <v>0.8333333333</v>
      </c>
      <c r="H275" s="66">
        <f t="shared" ref="H275:AJ275" si="176">G275+1/3</f>
        <v>1.166666667</v>
      </c>
      <c r="I275" s="66">
        <f t="shared" si="176"/>
        <v>1.5</v>
      </c>
      <c r="J275" s="66">
        <f t="shared" si="176"/>
        <v>1.833333333</v>
      </c>
      <c r="K275" s="66">
        <f t="shared" si="176"/>
        <v>2.166666667</v>
      </c>
      <c r="L275" s="66">
        <f t="shared" si="176"/>
        <v>2.5</v>
      </c>
      <c r="M275" s="66">
        <f t="shared" si="176"/>
        <v>2.833333333</v>
      </c>
      <c r="N275" s="66">
        <f t="shared" si="176"/>
        <v>3.166666667</v>
      </c>
      <c r="O275" s="66">
        <f t="shared" si="176"/>
        <v>3.5</v>
      </c>
      <c r="P275" s="66">
        <f t="shared" si="176"/>
        <v>3.833333333</v>
      </c>
      <c r="Q275" s="66">
        <f t="shared" si="176"/>
        <v>4.166666667</v>
      </c>
      <c r="R275" s="66">
        <f t="shared" si="176"/>
        <v>4.5</v>
      </c>
      <c r="S275" s="66">
        <f t="shared" si="176"/>
        <v>4.833333333</v>
      </c>
      <c r="T275" s="66">
        <f t="shared" si="176"/>
        <v>5.166666667</v>
      </c>
      <c r="U275" s="66">
        <f t="shared" si="176"/>
        <v>5.5</v>
      </c>
      <c r="V275" s="66">
        <f t="shared" si="176"/>
        <v>5.833333333</v>
      </c>
      <c r="W275" s="66">
        <f t="shared" si="176"/>
        <v>6.166666667</v>
      </c>
      <c r="X275" s="66">
        <f t="shared" si="176"/>
        <v>6.5</v>
      </c>
      <c r="Y275" s="66">
        <f t="shared" si="176"/>
        <v>6.833333333</v>
      </c>
      <c r="Z275" s="66">
        <f t="shared" si="176"/>
        <v>7.166666667</v>
      </c>
      <c r="AA275" s="66">
        <f t="shared" si="176"/>
        <v>7.5</v>
      </c>
      <c r="AB275" s="66">
        <f t="shared" si="176"/>
        <v>7.833333333</v>
      </c>
      <c r="AC275" s="66">
        <f t="shared" si="176"/>
        <v>8.166666667</v>
      </c>
      <c r="AD275" s="66">
        <f t="shared" si="176"/>
        <v>8.5</v>
      </c>
      <c r="AE275" s="66">
        <f t="shared" si="176"/>
        <v>8.833333333</v>
      </c>
      <c r="AF275" s="66">
        <f t="shared" si="176"/>
        <v>9.166666667</v>
      </c>
      <c r="AG275" s="66">
        <f t="shared" si="176"/>
        <v>9.5</v>
      </c>
      <c r="AH275" s="66">
        <f t="shared" si="176"/>
        <v>9.833333333</v>
      </c>
      <c r="AI275" s="66">
        <f t="shared" si="176"/>
        <v>10.16666667</v>
      </c>
      <c r="AJ275" s="66">
        <f t="shared" si="176"/>
        <v>10.5</v>
      </c>
      <c r="AK275" s="8"/>
      <c r="AL275" s="8"/>
      <c r="AM275" s="8"/>
      <c r="AN275" s="8"/>
      <c r="AO275" s="8"/>
      <c r="AP275" s="8"/>
      <c r="AQ275" s="8"/>
    </row>
    <row r="276">
      <c r="C276" s="8" t="s">
        <v>116</v>
      </c>
      <c r="D276" s="8" t="s">
        <v>252</v>
      </c>
      <c r="E276" s="62" t="s">
        <v>118</v>
      </c>
      <c r="F276" s="8"/>
      <c r="G276" s="9">
        <f>53/60</f>
        <v>0.8833333333</v>
      </c>
      <c r="H276" s="66">
        <f t="shared" ref="H276:AJ276" si="177">G276+1/3</f>
        <v>1.216666667</v>
      </c>
      <c r="I276" s="66">
        <f t="shared" si="177"/>
        <v>1.55</v>
      </c>
      <c r="J276" s="66">
        <f t="shared" si="177"/>
        <v>1.883333333</v>
      </c>
      <c r="K276" s="66">
        <f t="shared" si="177"/>
        <v>2.216666667</v>
      </c>
      <c r="L276" s="66">
        <f t="shared" si="177"/>
        <v>2.55</v>
      </c>
      <c r="M276" s="66">
        <f t="shared" si="177"/>
        <v>2.883333333</v>
      </c>
      <c r="N276" s="66">
        <f t="shared" si="177"/>
        <v>3.216666667</v>
      </c>
      <c r="O276" s="66">
        <f t="shared" si="177"/>
        <v>3.55</v>
      </c>
      <c r="P276" s="66">
        <f t="shared" si="177"/>
        <v>3.883333333</v>
      </c>
      <c r="Q276" s="66">
        <f t="shared" si="177"/>
        <v>4.216666667</v>
      </c>
      <c r="R276" s="66">
        <f t="shared" si="177"/>
        <v>4.55</v>
      </c>
      <c r="S276" s="66">
        <f t="shared" si="177"/>
        <v>4.883333333</v>
      </c>
      <c r="T276" s="66">
        <f t="shared" si="177"/>
        <v>5.216666667</v>
      </c>
      <c r="U276" s="66">
        <f t="shared" si="177"/>
        <v>5.55</v>
      </c>
      <c r="V276" s="66">
        <f t="shared" si="177"/>
        <v>5.883333333</v>
      </c>
      <c r="W276" s="66">
        <f t="shared" si="177"/>
        <v>6.216666667</v>
      </c>
      <c r="X276" s="66">
        <f t="shared" si="177"/>
        <v>6.55</v>
      </c>
      <c r="Y276" s="66">
        <f t="shared" si="177"/>
        <v>6.883333333</v>
      </c>
      <c r="Z276" s="66">
        <f t="shared" si="177"/>
        <v>7.216666667</v>
      </c>
      <c r="AA276" s="66">
        <f t="shared" si="177"/>
        <v>7.55</v>
      </c>
      <c r="AB276" s="66">
        <f t="shared" si="177"/>
        <v>7.883333333</v>
      </c>
      <c r="AC276" s="66">
        <f t="shared" si="177"/>
        <v>8.216666667</v>
      </c>
      <c r="AD276" s="66">
        <f t="shared" si="177"/>
        <v>8.55</v>
      </c>
      <c r="AE276" s="66">
        <f t="shared" si="177"/>
        <v>8.883333333</v>
      </c>
      <c r="AF276" s="66">
        <f t="shared" si="177"/>
        <v>9.216666667</v>
      </c>
      <c r="AG276" s="66">
        <f t="shared" si="177"/>
        <v>9.55</v>
      </c>
      <c r="AH276" s="66">
        <f t="shared" si="177"/>
        <v>9.883333333</v>
      </c>
      <c r="AI276" s="66">
        <f t="shared" si="177"/>
        <v>10.21666667</v>
      </c>
      <c r="AJ276" s="66">
        <f t="shared" si="177"/>
        <v>10.55</v>
      </c>
      <c r="AK276" s="8"/>
      <c r="AL276" s="8"/>
      <c r="AM276" s="8"/>
      <c r="AN276" s="8"/>
      <c r="AO276" s="8"/>
      <c r="AP276" s="8"/>
      <c r="AQ276" s="8"/>
    </row>
    <row r="277">
      <c r="A277" s="50"/>
      <c r="B277" s="50"/>
      <c r="C277" s="8" t="s">
        <v>116</v>
      </c>
      <c r="D277" s="8" t="s">
        <v>253</v>
      </c>
      <c r="E277" s="8" t="s">
        <v>118</v>
      </c>
      <c r="F277" s="8"/>
      <c r="G277" s="9">
        <f>56/60</f>
        <v>0.9333333333</v>
      </c>
      <c r="H277" s="66">
        <f t="shared" ref="H277:AJ277" si="178">G277+1/3</f>
        <v>1.266666667</v>
      </c>
      <c r="I277" s="66">
        <f t="shared" si="178"/>
        <v>1.6</v>
      </c>
      <c r="J277" s="66">
        <f t="shared" si="178"/>
        <v>1.933333333</v>
      </c>
      <c r="K277" s="66">
        <f t="shared" si="178"/>
        <v>2.266666667</v>
      </c>
      <c r="L277" s="66">
        <f t="shared" si="178"/>
        <v>2.6</v>
      </c>
      <c r="M277" s="66">
        <f t="shared" si="178"/>
        <v>2.933333333</v>
      </c>
      <c r="N277" s="66">
        <f t="shared" si="178"/>
        <v>3.266666667</v>
      </c>
      <c r="O277" s="66">
        <f t="shared" si="178"/>
        <v>3.6</v>
      </c>
      <c r="P277" s="66">
        <f t="shared" si="178"/>
        <v>3.933333333</v>
      </c>
      <c r="Q277" s="66">
        <f t="shared" si="178"/>
        <v>4.266666667</v>
      </c>
      <c r="R277" s="66">
        <f t="shared" si="178"/>
        <v>4.6</v>
      </c>
      <c r="S277" s="66">
        <f t="shared" si="178"/>
        <v>4.933333333</v>
      </c>
      <c r="T277" s="66">
        <f t="shared" si="178"/>
        <v>5.266666667</v>
      </c>
      <c r="U277" s="66">
        <f t="shared" si="178"/>
        <v>5.6</v>
      </c>
      <c r="V277" s="66">
        <f t="shared" si="178"/>
        <v>5.933333333</v>
      </c>
      <c r="W277" s="66">
        <f t="shared" si="178"/>
        <v>6.266666667</v>
      </c>
      <c r="X277" s="66">
        <f t="shared" si="178"/>
        <v>6.6</v>
      </c>
      <c r="Y277" s="66">
        <f t="shared" si="178"/>
        <v>6.933333333</v>
      </c>
      <c r="Z277" s="66">
        <f t="shared" si="178"/>
        <v>7.266666667</v>
      </c>
      <c r="AA277" s="66">
        <f t="shared" si="178"/>
        <v>7.6</v>
      </c>
      <c r="AB277" s="66">
        <f t="shared" si="178"/>
        <v>7.933333333</v>
      </c>
      <c r="AC277" s="66">
        <f t="shared" si="178"/>
        <v>8.266666667</v>
      </c>
      <c r="AD277" s="66">
        <f t="shared" si="178"/>
        <v>8.6</v>
      </c>
      <c r="AE277" s="66">
        <f t="shared" si="178"/>
        <v>8.933333333</v>
      </c>
      <c r="AF277" s="66">
        <f t="shared" si="178"/>
        <v>9.266666667</v>
      </c>
      <c r="AG277" s="66">
        <f t="shared" si="178"/>
        <v>9.6</v>
      </c>
      <c r="AH277" s="66">
        <f t="shared" si="178"/>
        <v>9.933333333</v>
      </c>
      <c r="AI277" s="66">
        <f t="shared" si="178"/>
        <v>10.26666667</v>
      </c>
      <c r="AJ277" s="66">
        <f t="shared" si="178"/>
        <v>10.6</v>
      </c>
      <c r="AK277" s="8"/>
      <c r="AL277" s="8"/>
      <c r="AM277" s="8"/>
      <c r="AN277" s="8"/>
      <c r="AO277" s="8"/>
      <c r="AP277" s="8"/>
      <c r="AQ277" s="8"/>
    </row>
    <row r="278">
      <c r="A278" s="50"/>
      <c r="B278" s="50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</row>
    <row r="279">
      <c r="A279" s="50"/>
      <c r="B279" s="50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</row>
    <row r="280">
      <c r="A280" s="8"/>
      <c r="B280" s="8" t="s">
        <v>88</v>
      </c>
      <c r="C280" s="8" t="s">
        <v>140</v>
      </c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</row>
    <row r="281">
      <c r="A281" s="67" t="s">
        <v>141</v>
      </c>
      <c r="B281" s="8" t="s">
        <v>243</v>
      </c>
      <c r="C281" s="68">
        <f t="shared" ref="C281:C293" si="179">G251/(G265*60)</f>
        <v>0.00227</v>
      </c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</row>
    <row r="282">
      <c r="A282" s="8"/>
      <c r="B282" s="8" t="s">
        <v>244</v>
      </c>
      <c r="C282" s="68">
        <f t="shared" si="179"/>
        <v>0.002265217391</v>
      </c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</row>
    <row r="283">
      <c r="A283" s="8"/>
      <c r="B283" s="8" t="s">
        <v>243</v>
      </c>
      <c r="C283" s="68">
        <f t="shared" si="179"/>
        <v>0.002488461538</v>
      </c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</row>
    <row r="284">
      <c r="A284" s="8"/>
      <c r="B284" s="8" t="s">
        <v>244</v>
      </c>
      <c r="C284" s="68">
        <f t="shared" si="179"/>
        <v>0.002851724138</v>
      </c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</row>
    <row r="285">
      <c r="A285" s="8"/>
      <c r="B285" s="8" t="s">
        <v>245</v>
      </c>
      <c r="C285" s="68">
        <f t="shared" si="179"/>
        <v>0.000728125</v>
      </c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</row>
    <row r="286">
      <c r="A286" s="8"/>
      <c r="B286" s="8" t="s">
        <v>246</v>
      </c>
      <c r="C286" s="68">
        <f t="shared" si="179"/>
        <v>0.001534285714</v>
      </c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</row>
    <row r="287">
      <c r="A287" s="8"/>
      <c r="B287" s="8" t="s">
        <v>247</v>
      </c>
      <c r="C287" s="68">
        <f t="shared" si="179"/>
        <v>0.001815789474</v>
      </c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</row>
    <row r="288">
      <c r="A288" s="8"/>
      <c r="B288" s="8" t="s">
        <v>248</v>
      </c>
      <c r="C288" s="68">
        <f t="shared" si="179"/>
        <v>0.002490243902</v>
      </c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</row>
    <row r="289">
      <c r="A289" s="8"/>
      <c r="B289" s="8" t="s">
        <v>249</v>
      </c>
      <c r="C289" s="68">
        <f t="shared" si="179"/>
        <v>0.002693181818</v>
      </c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</row>
    <row r="290">
      <c r="A290" s="50"/>
      <c r="B290" s="8" t="s">
        <v>250</v>
      </c>
      <c r="C290" s="68">
        <f t="shared" si="179"/>
        <v>0.002791489362</v>
      </c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</row>
    <row r="291">
      <c r="A291" s="50"/>
      <c r="B291" s="8" t="s">
        <v>251</v>
      </c>
      <c r="C291" s="68">
        <f t="shared" si="179"/>
        <v>0.003108</v>
      </c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</row>
    <row r="292">
      <c r="A292" s="50"/>
      <c r="B292" s="8" t="s">
        <v>252</v>
      </c>
      <c r="C292" s="68">
        <f t="shared" si="179"/>
        <v>0.003405660377</v>
      </c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</row>
    <row r="293">
      <c r="A293" s="50"/>
      <c r="B293" s="8" t="s">
        <v>253</v>
      </c>
      <c r="C293" s="68">
        <f t="shared" si="179"/>
        <v>0.003508928571</v>
      </c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</row>
    <row r="294">
      <c r="A294" s="50"/>
      <c r="B294" s="50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</row>
    <row r="295">
      <c r="A295" s="50"/>
      <c r="B295" s="50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</row>
    <row r="296">
      <c r="A296" s="50"/>
      <c r="B296" s="50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</row>
    <row r="297">
      <c r="A297" s="50"/>
      <c r="B297" s="50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</row>
    <row r="298">
      <c r="A298" s="87"/>
      <c r="B298" s="87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</row>
    <row r="299">
      <c r="A299" s="50"/>
      <c r="B299" s="50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</row>
    <row r="300">
      <c r="A300" s="50" t="s">
        <v>254</v>
      </c>
      <c r="C300" s="8" t="s">
        <v>116</v>
      </c>
      <c r="D300" s="8" t="s">
        <v>227</v>
      </c>
      <c r="E300" s="8" t="s">
        <v>118</v>
      </c>
      <c r="F300" s="8"/>
      <c r="G300" s="9">
        <v>0.4546</v>
      </c>
      <c r="H300" s="9">
        <v>0.5119</v>
      </c>
      <c r="I300" s="9">
        <v>0.5712</v>
      </c>
      <c r="J300" s="9">
        <v>0.6318</v>
      </c>
      <c r="K300" s="9">
        <v>0.6976</v>
      </c>
      <c r="L300" s="9">
        <v>0.7618</v>
      </c>
      <c r="M300" s="9">
        <v>0.8298</v>
      </c>
      <c r="N300" s="9">
        <v>0.8985</v>
      </c>
      <c r="O300" s="9">
        <v>0.9677</v>
      </c>
      <c r="P300" s="9">
        <v>1.039</v>
      </c>
      <c r="Q300" s="9">
        <v>1.1112</v>
      </c>
      <c r="R300" s="9">
        <v>1.182</v>
      </c>
      <c r="S300" s="9">
        <v>1.2549</v>
      </c>
      <c r="T300" s="9">
        <v>1.3281</v>
      </c>
      <c r="U300" s="9">
        <v>1.4042</v>
      </c>
      <c r="V300" s="9">
        <v>1.482</v>
      </c>
      <c r="W300" s="9">
        <v>1.5548</v>
      </c>
      <c r="X300" s="9">
        <v>1.6313</v>
      </c>
      <c r="Y300" s="9">
        <v>1.7056</v>
      </c>
      <c r="Z300" s="9">
        <v>1.7794</v>
      </c>
      <c r="AA300" s="9">
        <v>1.8562</v>
      </c>
      <c r="AB300" s="9">
        <v>1.932</v>
      </c>
      <c r="AC300" s="9">
        <v>2.0086</v>
      </c>
      <c r="AD300" s="9">
        <v>2.0808</v>
      </c>
      <c r="AE300" s="9">
        <v>2.1529</v>
      </c>
      <c r="AF300" s="9">
        <v>2.2287</v>
      </c>
      <c r="AG300" s="9">
        <v>2.2998</v>
      </c>
      <c r="AH300" s="9">
        <v>2.3799</v>
      </c>
      <c r="AI300" s="9">
        <v>2.4477</v>
      </c>
      <c r="AJ300" s="9">
        <v>2.5178</v>
      </c>
      <c r="AK300" s="8"/>
      <c r="AL300" s="8"/>
      <c r="AM300" s="8"/>
      <c r="AN300" s="8"/>
      <c r="AO300" s="8"/>
      <c r="AP300" s="8"/>
      <c r="AQ300" s="8"/>
    </row>
    <row r="301">
      <c r="C301" s="8" t="s">
        <v>116</v>
      </c>
      <c r="D301" s="8" t="s">
        <v>228</v>
      </c>
      <c r="E301" s="8" t="s">
        <v>118</v>
      </c>
      <c r="F301" s="8"/>
      <c r="G301" s="9">
        <v>0.4415</v>
      </c>
      <c r="H301" s="9">
        <v>0.496</v>
      </c>
      <c r="I301" s="9">
        <v>0.5514</v>
      </c>
      <c r="J301" s="9">
        <v>0.6128</v>
      </c>
      <c r="K301" s="9">
        <v>0.6734</v>
      </c>
      <c r="L301" s="9">
        <v>0.7366</v>
      </c>
      <c r="M301" s="9">
        <v>0.799</v>
      </c>
      <c r="N301" s="9">
        <v>0.8625</v>
      </c>
      <c r="O301" s="9">
        <v>0.9277</v>
      </c>
      <c r="P301" s="9">
        <v>0.9931</v>
      </c>
      <c r="Q301" s="9">
        <v>1.0613</v>
      </c>
      <c r="R301" s="9">
        <v>1.1245</v>
      </c>
      <c r="S301" s="9">
        <v>1.1906</v>
      </c>
      <c r="T301" s="9">
        <v>1.2582</v>
      </c>
      <c r="U301" s="9">
        <v>1.3224</v>
      </c>
      <c r="V301" s="9">
        <v>1.3882</v>
      </c>
      <c r="W301" s="9">
        <v>1.4523</v>
      </c>
      <c r="X301" s="9">
        <v>1.5177</v>
      </c>
      <c r="Y301" s="9">
        <v>1.5815</v>
      </c>
      <c r="Z301" s="9">
        <v>1.6419</v>
      </c>
      <c r="AA301" s="9">
        <v>1.7063</v>
      </c>
      <c r="AB301" s="9">
        <v>1.7655</v>
      </c>
      <c r="AC301" s="9">
        <v>1.8271</v>
      </c>
      <c r="AD301" s="9">
        <v>1.886</v>
      </c>
      <c r="AE301" s="9">
        <v>1.9406</v>
      </c>
      <c r="AF301" s="9">
        <v>1.9953</v>
      </c>
      <c r="AG301" s="9">
        <v>2.0446</v>
      </c>
      <c r="AH301" s="9">
        <v>2.0939</v>
      </c>
      <c r="AI301" s="9">
        <v>2.1369</v>
      </c>
      <c r="AJ301" s="9">
        <v>2.1799</v>
      </c>
      <c r="AK301" s="8"/>
      <c r="AL301" s="8"/>
      <c r="AM301" s="8"/>
      <c r="AN301" s="8"/>
      <c r="AO301" s="8"/>
      <c r="AP301" s="8"/>
      <c r="AQ301" s="8"/>
    </row>
    <row r="302">
      <c r="C302" s="8" t="s">
        <v>116</v>
      </c>
      <c r="D302" s="8" t="s">
        <v>229</v>
      </c>
      <c r="E302" s="8" t="s">
        <v>118</v>
      </c>
      <c r="F302" s="8"/>
      <c r="G302" s="9">
        <v>0.4927</v>
      </c>
      <c r="H302" s="9">
        <v>0.5402</v>
      </c>
      <c r="I302" s="9">
        <v>0.5645</v>
      </c>
      <c r="J302" s="9">
        <v>0.6231</v>
      </c>
      <c r="K302" s="9">
        <v>0.6822</v>
      </c>
      <c r="L302" s="9">
        <v>0.7654</v>
      </c>
      <c r="M302" s="9">
        <v>0.7955</v>
      </c>
      <c r="N302" s="9">
        <v>0.8575</v>
      </c>
      <c r="O302" s="9">
        <v>0.8895</v>
      </c>
      <c r="P302" s="9">
        <v>0.9397</v>
      </c>
      <c r="Q302" s="9">
        <v>0.9923</v>
      </c>
      <c r="R302" s="9">
        <v>1.0552</v>
      </c>
      <c r="S302" s="9">
        <v>1.1068</v>
      </c>
      <c r="T302" s="9">
        <v>1.1434</v>
      </c>
      <c r="U302" s="9">
        <v>1.1994</v>
      </c>
      <c r="V302" s="9">
        <v>1.2424</v>
      </c>
      <c r="W302" s="9">
        <v>1.2893</v>
      </c>
      <c r="X302" s="9">
        <v>1.3203</v>
      </c>
      <c r="Y302" s="9">
        <v>1.3428</v>
      </c>
      <c r="Z302" s="9">
        <v>1.3712</v>
      </c>
      <c r="AA302" s="9">
        <v>1.3722</v>
      </c>
      <c r="AB302" s="9">
        <v>1.3732</v>
      </c>
      <c r="AC302" s="9">
        <v>1.399</v>
      </c>
      <c r="AD302" s="9">
        <v>1.3913</v>
      </c>
      <c r="AE302" s="9">
        <v>1.3924</v>
      </c>
      <c r="AF302" s="9">
        <v>1.3925</v>
      </c>
      <c r="AG302" s="9">
        <v>1.3918</v>
      </c>
      <c r="AH302" s="9">
        <v>1.4037</v>
      </c>
      <c r="AI302" s="9">
        <v>1.397</v>
      </c>
      <c r="AJ302" s="9">
        <v>1.429</v>
      </c>
      <c r="AK302" s="8"/>
      <c r="AL302" s="8"/>
      <c r="AM302" s="8"/>
      <c r="AN302" s="8"/>
      <c r="AO302" s="8"/>
      <c r="AP302" s="8"/>
      <c r="AQ302" s="8"/>
    </row>
    <row r="303">
      <c r="C303" s="8" t="s">
        <v>116</v>
      </c>
      <c r="D303" s="8" t="s">
        <v>230</v>
      </c>
      <c r="E303" s="8" t="s">
        <v>118</v>
      </c>
      <c r="F303" s="8"/>
      <c r="G303" s="9">
        <v>0.3589</v>
      </c>
      <c r="H303" s="9">
        <v>0.4026</v>
      </c>
      <c r="I303" s="9">
        <v>0.4421</v>
      </c>
      <c r="J303" s="9">
        <v>0.4841</v>
      </c>
      <c r="K303" s="9">
        <v>0.5226</v>
      </c>
      <c r="L303" s="9">
        <v>0.5518</v>
      </c>
      <c r="M303" s="9">
        <v>0.5778</v>
      </c>
      <c r="N303" s="9">
        <v>0.6019</v>
      </c>
      <c r="O303" s="9">
        <v>0.6187</v>
      </c>
      <c r="P303" s="9">
        <v>0.632</v>
      </c>
      <c r="Q303" s="9">
        <v>0.6405</v>
      </c>
      <c r="R303" s="9">
        <v>0.6469</v>
      </c>
      <c r="S303" s="9">
        <v>0.6498</v>
      </c>
      <c r="T303" s="9">
        <v>0.6489</v>
      </c>
      <c r="U303" s="9">
        <v>0.6497</v>
      </c>
      <c r="V303" s="9">
        <v>0.6494</v>
      </c>
      <c r="W303" s="9">
        <v>0.6506</v>
      </c>
      <c r="X303" s="9">
        <v>0.6483</v>
      </c>
      <c r="Y303" s="9">
        <v>0.6478</v>
      </c>
      <c r="Z303" s="9">
        <v>0.6476</v>
      </c>
      <c r="AA303" s="9">
        <v>0.6458</v>
      </c>
      <c r="AB303" s="9">
        <v>0.645</v>
      </c>
      <c r="AC303" s="9">
        <v>0.6451</v>
      </c>
      <c r="AD303" s="9">
        <v>0.6445</v>
      </c>
      <c r="AE303" s="9">
        <v>0.6427</v>
      </c>
      <c r="AF303" s="9">
        <v>0.6441</v>
      </c>
      <c r="AG303" s="9">
        <v>0.642</v>
      </c>
      <c r="AH303" s="9">
        <v>0.6415</v>
      </c>
      <c r="AI303" s="9">
        <v>0.6411</v>
      </c>
      <c r="AJ303" s="9">
        <v>0.6409</v>
      </c>
      <c r="AK303" s="8"/>
      <c r="AL303" s="8"/>
      <c r="AM303" s="8"/>
      <c r="AN303" s="8"/>
      <c r="AO303" s="8"/>
      <c r="AP303" s="8"/>
      <c r="AQ303" s="8"/>
    </row>
    <row r="304">
      <c r="C304" s="8" t="s">
        <v>116</v>
      </c>
      <c r="D304" s="8" t="s">
        <v>231</v>
      </c>
      <c r="E304" s="8" t="s">
        <v>118</v>
      </c>
      <c r="F304" s="8"/>
      <c r="G304" s="9">
        <v>0.3814</v>
      </c>
      <c r="H304" s="9">
        <v>0.3631</v>
      </c>
      <c r="I304" s="9">
        <v>0.3896</v>
      </c>
      <c r="J304" s="9">
        <v>0.4447</v>
      </c>
      <c r="K304" s="9">
        <v>0.4619</v>
      </c>
      <c r="L304" s="9">
        <v>0.4619</v>
      </c>
      <c r="M304" s="9">
        <v>0.4754</v>
      </c>
      <c r="N304" s="9">
        <v>0.4825</v>
      </c>
      <c r="O304" s="9">
        <v>0.4974</v>
      </c>
      <c r="P304" s="9">
        <v>0.4982</v>
      </c>
      <c r="Q304" s="9">
        <v>0.4961</v>
      </c>
      <c r="R304" s="9">
        <v>0.4948</v>
      </c>
      <c r="S304" s="9">
        <v>0.492</v>
      </c>
      <c r="T304" s="9">
        <v>0.5073</v>
      </c>
      <c r="U304" s="9">
        <v>0.5031</v>
      </c>
      <c r="V304" s="9">
        <v>0.5177</v>
      </c>
      <c r="W304" s="9">
        <v>0.495</v>
      </c>
      <c r="X304" s="9">
        <v>0.4962</v>
      </c>
      <c r="Y304" s="9">
        <v>0.4975</v>
      </c>
      <c r="Z304" s="9">
        <v>0.51</v>
      </c>
      <c r="AA304" s="9">
        <v>0.5082</v>
      </c>
      <c r="AB304" s="9">
        <v>0.5091</v>
      </c>
      <c r="AC304" s="9">
        <v>0.4926</v>
      </c>
      <c r="AD304" s="9">
        <v>0.4886</v>
      </c>
      <c r="AE304" s="9">
        <v>0.4909</v>
      </c>
      <c r="AF304" s="9">
        <v>0.4874</v>
      </c>
      <c r="AG304" s="9">
        <v>0.4944</v>
      </c>
      <c r="AH304" s="9">
        <v>0.518</v>
      </c>
      <c r="AI304" s="9">
        <v>0.5024</v>
      </c>
      <c r="AJ304" s="9">
        <v>0.527</v>
      </c>
      <c r="AK304" s="8"/>
      <c r="AL304" s="8"/>
      <c r="AM304" s="8"/>
      <c r="AN304" s="8"/>
      <c r="AO304" s="8"/>
      <c r="AP304" s="8"/>
      <c r="AQ304" s="8"/>
    </row>
    <row r="305">
      <c r="C305" s="8" t="s">
        <v>116</v>
      </c>
      <c r="D305" s="8" t="s">
        <v>232</v>
      </c>
      <c r="E305" s="8" t="s">
        <v>118</v>
      </c>
      <c r="F305" s="8"/>
      <c r="G305" s="9">
        <v>0.3368</v>
      </c>
      <c r="H305" s="9">
        <v>0.4252</v>
      </c>
      <c r="I305" s="9">
        <v>0.484</v>
      </c>
      <c r="J305" s="9">
        <v>0.5385</v>
      </c>
      <c r="K305" s="9">
        <v>0.5678</v>
      </c>
      <c r="L305" s="9">
        <v>0.6107</v>
      </c>
      <c r="M305" s="9">
        <v>0.636</v>
      </c>
      <c r="N305" s="9">
        <v>0.6747</v>
      </c>
      <c r="O305" s="9">
        <v>0.723</v>
      </c>
      <c r="P305" s="9">
        <v>0.7225</v>
      </c>
      <c r="Q305" s="9">
        <v>0.7751</v>
      </c>
      <c r="R305" s="9">
        <v>0.7639</v>
      </c>
      <c r="S305" s="9">
        <v>0.7747</v>
      </c>
      <c r="T305" s="9">
        <v>0.8024</v>
      </c>
      <c r="U305" s="9">
        <v>0.7936</v>
      </c>
      <c r="V305" s="9">
        <v>0.8182</v>
      </c>
      <c r="W305" s="9">
        <v>0.821</v>
      </c>
      <c r="X305" s="9">
        <v>0.834</v>
      </c>
      <c r="Y305" s="9">
        <v>0.8303</v>
      </c>
      <c r="Z305" s="9">
        <v>0.8272</v>
      </c>
      <c r="AA305" s="9">
        <v>0.8322</v>
      </c>
      <c r="AB305" s="9">
        <v>0.8141</v>
      </c>
      <c r="AC305" s="9">
        <v>0.8288</v>
      </c>
      <c r="AD305" s="9">
        <v>0.8394</v>
      </c>
      <c r="AE305" s="9">
        <v>0.8289</v>
      </c>
      <c r="AF305" s="9">
        <v>0.8097</v>
      </c>
      <c r="AG305" s="9">
        <v>0.814</v>
      </c>
      <c r="AH305" s="9">
        <v>0.8248</v>
      </c>
      <c r="AI305" s="9">
        <v>0.8312</v>
      </c>
      <c r="AJ305" s="9">
        <v>0.8189</v>
      </c>
      <c r="AK305" s="8"/>
      <c r="AL305" s="8"/>
      <c r="AM305" s="8"/>
      <c r="AN305" s="8"/>
      <c r="AO305" s="8"/>
      <c r="AP305" s="8"/>
      <c r="AQ305" s="8"/>
    </row>
    <row r="306">
      <c r="C306" s="8" t="s">
        <v>116</v>
      </c>
      <c r="D306" s="8" t="s">
        <v>233</v>
      </c>
      <c r="E306" s="8" t="s">
        <v>118</v>
      </c>
      <c r="F306" s="8"/>
      <c r="G306" s="9">
        <v>0.2124</v>
      </c>
      <c r="H306" s="9">
        <v>0.2418</v>
      </c>
      <c r="I306" s="9">
        <v>0.268</v>
      </c>
      <c r="J306" s="9">
        <v>0.2745</v>
      </c>
      <c r="K306" s="9">
        <v>0.2767</v>
      </c>
      <c r="L306" s="9">
        <v>0.2755</v>
      </c>
      <c r="M306" s="9">
        <v>0.2722</v>
      </c>
      <c r="N306" s="9">
        <v>0.2718</v>
      </c>
      <c r="O306" s="9">
        <v>0.2749</v>
      </c>
      <c r="P306" s="9">
        <v>0.2773</v>
      </c>
      <c r="Q306" s="9">
        <v>0.2882</v>
      </c>
      <c r="R306" s="9">
        <v>0.2764</v>
      </c>
      <c r="S306" s="9">
        <v>0.2668</v>
      </c>
      <c r="T306" s="9">
        <v>0.2812</v>
      </c>
      <c r="U306" s="9">
        <v>0.2642</v>
      </c>
      <c r="V306" s="9">
        <v>0.2812</v>
      </c>
      <c r="W306" s="9">
        <v>0.2804</v>
      </c>
      <c r="X306" s="9">
        <v>0.282</v>
      </c>
      <c r="Y306" s="9">
        <v>0.2786</v>
      </c>
      <c r="Z306" s="9">
        <v>0.2816</v>
      </c>
      <c r="AA306" s="9">
        <v>0.2747</v>
      </c>
      <c r="AB306" s="9">
        <v>0.2725</v>
      </c>
      <c r="AC306" s="9">
        <v>0.2841</v>
      </c>
      <c r="AD306" s="9">
        <v>0.2772</v>
      </c>
      <c r="AE306" s="9">
        <v>0.2916</v>
      </c>
      <c r="AF306" s="9">
        <v>0.2808</v>
      </c>
      <c r="AG306" s="9">
        <v>0.2723</v>
      </c>
      <c r="AH306" s="9">
        <v>0.274</v>
      </c>
      <c r="AI306" s="9">
        <v>0.285</v>
      </c>
      <c r="AJ306" s="9">
        <v>0.2862</v>
      </c>
      <c r="AK306" s="8"/>
      <c r="AL306" s="8"/>
      <c r="AM306" s="8"/>
      <c r="AN306" s="8"/>
      <c r="AO306" s="8"/>
      <c r="AP306" s="8"/>
      <c r="AQ306" s="8"/>
    </row>
    <row r="307">
      <c r="C307" s="8" t="s">
        <v>116</v>
      </c>
      <c r="D307" s="8" t="s">
        <v>255</v>
      </c>
      <c r="E307" s="8" t="s">
        <v>118</v>
      </c>
      <c r="F307" s="8"/>
      <c r="G307" s="9">
        <v>0.2485</v>
      </c>
      <c r="H307" s="9">
        <v>0.2929</v>
      </c>
      <c r="I307" s="9">
        <v>0.3646</v>
      </c>
      <c r="J307" s="9">
        <v>0.3717</v>
      </c>
      <c r="K307" s="9">
        <v>0.4046</v>
      </c>
      <c r="L307" s="9">
        <v>0.4305</v>
      </c>
      <c r="M307" s="9">
        <v>0.4363</v>
      </c>
      <c r="N307" s="9">
        <v>0.4435</v>
      </c>
      <c r="O307" s="9">
        <v>0.4588</v>
      </c>
      <c r="P307" s="9">
        <v>0.457</v>
      </c>
      <c r="Q307" s="9">
        <v>0.4512</v>
      </c>
      <c r="R307" s="9">
        <v>0.4557</v>
      </c>
      <c r="S307" s="9">
        <v>0.4465</v>
      </c>
      <c r="T307" s="9">
        <v>0.461</v>
      </c>
      <c r="U307" s="9">
        <v>0.4578</v>
      </c>
      <c r="V307" s="9">
        <v>0.4577</v>
      </c>
      <c r="W307" s="9">
        <v>0.4503</v>
      </c>
      <c r="X307" s="9">
        <v>0.4626</v>
      </c>
      <c r="Y307" s="9">
        <v>0.4622</v>
      </c>
      <c r="Z307" s="9">
        <v>0.4642</v>
      </c>
      <c r="AA307" s="9">
        <v>0.4579</v>
      </c>
      <c r="AB307" s="9">
        <v>0.4659</v>
      </c>
      <c r="AC307" s="9">
        <v>0.4635</v>
      </c>
      <c r="AD307" s="9">
        <v>0.4513</v>
      </c>
      <c r="AE307" s="9">
        <v>0.4566</v>
      </c>
      <c r="AF307" s="9">
        <v>0.4474</v>
      </c>
      <c r="AG307" s="9">
        <v>0.4454</v>
      </c>
      <c r="AH307" s="9">
        <v>0.4436</v>
      </c>
      <c r="AI307" s="9">
        <v>0.452</v>
      </c>
      <c r="AJ307" s="9">
        <v>0.4517</v>
      </c>
      <c r="AK307" s="8"/>
      <c r="AL307" s="8"/>
      <c r="AM307" s="8"/>
      <c r="AN307" s="8"/>
      <c r="AO307" s="8"/>
      <c r="AP307" s="8"/>
      <c r="AQ307" s="8"/>
    </row>
    <row r="308">
      <c r="C308" s="8" t="s">
        <v>116</v>
      </c>
      <c r="D308" s="8" t="s">
        <v>234</v>
      </c>
      <c r="E308" s="8" t="s">
        <v>118</v>
      </c>
      <c r="F308" s="8"/>
      <c r="G308" s="9">
        <v>0.1394</v>
      </c>
      <c r="H308" s="9">
        <v>0.1525</v>
      </c>
      <c r="I308" s="9">
        <v>0.1616</v>
      </c>
      <c r="J308" s="9">
        <v>0.1684</v>
      </c>
      <c r="K308" s="9">
        <v>0.1718</v>
      </c>
      <c r="L308" s="9">
        <v>0.1747</v>
      </c>
      <c r="M308" s="9">
        <v>0.1769</v>
      </c>
      <c r="N308" s="9">
        <v>0.1768</v>
      </c>
      <c r="O308" s="9">
        <v>0.1769</v>
      </c>
      <c r="P308" s="9">
        <v>0.1775</v>
      </c>
      <c r="Q308" s="9">
        <v>0.1774</v>
      </c>
      <c r="R308" s="9">
        <v>0.1782</v>
      </c>
      <c r="S308" s="9">
        <v>0.1778</v>
      </c>
      <c r="T308" s="9">
        <v>0.1778</v>
      </c>
      <c r="U308" s="9">
        <v>0.1778</v>
      </c>
      <c r="V308" s="9">
        <v>0.1783</v>
      </c>
      <c r="W308" s="9">
        <v>0.1782</v>
      </c>
      <c r="X308" s="9">
        <v>0.1782</v>
      </c>
      <c r="Y308" s="9">
        <v>0.1782</v>
      </c>
      <c r="Z308" s="9">
        <v>0.1783</v>
      </c>
      <c r="AA308" s="9">
        <v>0.1792</v>
      </c>
      <c r="AB308" s="9">
        <v>0.1788</v>
      </c>
      <c r="AC308" s="9">
        <v>0.1795</v>
      </c>
      <c r="AD308" s="9">
        <v>0.1792</v>
      </c>
      <c r="AE308" s="9">
        <v>0.1792</v>
      </c>
      <c r="AF308" s="9">
        <v>0.1789</v>
      </c>
      <c r="AG308" s="9">
        <v>0.18</v>
      </c>
      <c r="AH308" s="9">
        <v>0.1792</v>
      </c>
      <c r="AI308" s="9">
        <v>0.1815</v>
      </c>
      <c r="AJ308" s="9">
        <v>0.1797</v>
      </c>
      <c r="AK308" s="8"/>
      <c r="AL308" s="8"/>
      <c r="AM308" s="8"/>
      <c r="AN308" s="8"/>
      <c r="AO308" s="8"/>
      <c r="AP308" s="8"/>
      <c r="AQ308" s="8"/>
    </row>
    <row r="309">
      <c r="C309" s="8" t="s">
        <v>116</v>
      </c>
      <c r="D309" s="8" t="s">
        <v>256</v>
      </c>
      <c r="E309" s="8" t="s">
        <v>118</v>
      </c>
      <c r="F309" s="8"/>
      <c r="G309" s="9">
        <v>0.2734</v>
      </c>
      <c r="H309" s="9">
        <v>0.3888</v>
      </c>
      <c r="I309" s="9">
        <v>0.4507</v>
      </c>
      <c r="J309" s="9">
        <v>0.4819</v>
      </c>
      <c r="K309" s="9">
        <v>0.5312</v>
      </c>
      <c r="L309" s="9">
        <v>0.618</v>
      </c>
      <c r="M309" s="9">
        <v>0.6909</v>
      </c>
      <c r="N309" s="9">
        <v>0.7691</v>
      </c>
      <c r="O309" s="9">
        <v>0.7952</v>
      </c>
      <c r="P309" s="9">
        <v>0.854</v>
      </c>
      <c r="Q309" s="9">
        <v>0.9158</v>
      </c>
      <c r="R309" s="9">
        <v>0.9893</v>
      </c>
      <c r="S309" s="9">
        <v>1.0488</v>
      </c>
      <c r="T309" s="9">
        <v>1.1185</v>
      </c>
      <c r="U309" s="9">
        <v>1.199</v>
      </c>
      <c r="V309" s="9">
        <v>1.2655</v>
      </c>
      <c r="W309" s="9">
        <v>1.3443</v>
      </c>
      <c r="X309" s="9">
        <v>1.4138</v>
      </c>
      <c r="Y309" s="9">
        <v>1.4823</v>
      </c>
      <c r="Z309" s="9">
        <v>1.5578</v>
      </c>
      <c r="AA309" s="9">
        <v>1.6281</v>
      </c>
      <c r="AB309" s="9">
        <v>1.7232</v>
      </c>
      <c r="AC309" s="9">
        <v>1.78</v>
      </c>
      <c r="AD309" s="9">
        <v>1.8497</v>
      </c>
      <c r="AE309" s="9">
        <v>1.9316</v>
      </c>
      <c r="AF309" s="9">
        <v>2.0022</v>
      </c>
      <c r="AG309" s="9">
        <v>2.0729</v>
      </c>
      <c r="AH309" s="9">
        <v>2.1519</v>
      </c>
      <c r="AI309" s="9">
        <v>2.2206</v>
      </c>
      <c r="AJ309" s="9">
        <v>2.2975</v>
      </c>
      <c r="AK309" s="8"/>
      <c r="AL309" s="8"/>
      <c r="AM309" s="8"/>
      <c r="AN309" s="8"/>
      <c r="AO309" s="8"/>
      <c r="AP309" s="8"/>
      <c r="AQ309" s="8"/>
    </row>
    <row r="310">
      <c r="C310" s="8" t="s">
        <v>116</v>
      </c>
      <c r="D310" s="8" t="s">
        <v>257</v>
      </c>
      <c r="E310" s="8" t="s">
        <v>118</v>
      </c>
      <c r="F310" s="8"/>
      <c r="G310" s="9">
        <v>0.1183</v>
      </c>
      <c r="H310" s="9">
        <v>0.1391</v>
      </c>
      <c r="I310" s="9">
        <v>0.1611</v>
      </c>
      <c r="J310" s="9">
        <v>0.1823</v>
      </c>
      <c r="K310" s="9">
        <v>0.2051</v>
      </c>
      <c r="L310" s="9">
        <v>0.2285</v>
      </c>
      <c r="M310" s="9">
        <v>0.2531</v>
      </c>
      <c r="N310" s="9">
        <v>0.2774</v>
      </c>
      <c r="O310" s="9">
        <v>0.3044</v>
      </c>
      <c r="P310" s="9">
        <v>0.3291</v>
      </c>
      <c r="Q310" s="9">
        <v>0.3523</v>
      </c>
      <c r="R310" s="9">
        <v>0.382</v>
      </c>
      <c r="S310" s="9">
        <v>0.4003</v>
      </c>
      <c r="T310" s="9">
        <v>0.4259</v>
      </c>
      <c r="U310" s="9">
        <v>0.4522</v>
      </c>
      <c r="V310" s="9">
        <v>0.4792</v>
      </c>
      <c r="W310" s="9">
        <v>0.5039</v>
      </c>
      <c r="X310" s="9">
        <v>0.5285</v>
      </c>
      <c r="Y310" s="9">
        <v>0.5553</v>
      </c>
      <c r="Z310" s="9">
        <v>0.5885</v>
      </c>
      <c r="AA310" s="9">
        <v>0.6075</v>
      </c>
      <c r="AB310" s="9">
        <v>0.6385</v>
      </c>
      <c r="AC310" s="9">
        <v>0.6738</v>
      </c>
      <c r="AD310" s="9">
        <v>0.703</v>
      </c>
      <c r="AE310" s="9">
        <v>0.7255</v>
      </c>
      <c r="AF310" s="9">
        <v>0.7488</v>
      </c>
      <c r="AG310" s="9">
        <v>0.7716</v>
      </c>
      <c r="AH310" s="9">
        <v>0.8058</v>
      </c>
      <c r="AI310" s="9">
        <v>0.8265</v>
      </c>
      <c r="AJ310" s="9">
        <v>0.8592</v>
      </c>
      <c r="AK310" s="8"/>
      <c r="AL310" s="8"/>
      <c r="AM310" s="8"/>
      <c r="AN310" s="8"/>
      <c r="AO310" s="8"/>
      <c r="AP310" s="8"/>
      <c r="AQ310" s="8"/>
    </row>
    <row r="311">
      <c r="C311" s="8" t="s">
        <v>109</v>
      </c>
      <c r="D311" s="8" t="s">
        <v>227</v>
      </c>
      <c r="E311" s="8" t="s">
        <v>118</v>
      </c>
      <c r="F311" s="8"/>
      <c r="G311" s="9">
        <v>0.0691</v>
      </c>
      <c r="H311" s="9">
        <v>0.0692</v>
      </c>
      <c r="I311" s="9">
        <v>0.0692</v>
      </c>
      <c r="J311" s="9">
        <v>0.0692</v>
      </c>
      <c r="K311" s="9">
        <v>0.0693</v>
      </c>
      <c r="L311" s="9">
        <v>0.0694</v>
      </c>
      <c r="M311" s="9">
        <v>0.0694</v>
      </c>
      <c r="N311" s="9">
        <v>0.0696</v>
      </c>
      <c r="O311" s="9">
        <v>0.0695</v>
      </c>
      <c r="P311" s="9">
        <v>0.0697</v>
      </c>
      <c r="Q311" s="9">
        <v>0.0698</v>
      </c>
      <c r="R311" s="9">
        <v>0.0699</v>
      </c>
      <c r="S311" s="9">
        <v>0.0697</v>
      </c>
      <c r="T311" s="9">
        <v>0.0698</v>
      </c>
      <c r="U311" s="9">
        <v>0.0701</v>
      </c>
      <c r="V311" s="9">
        <v>0.0701</v>
      </c>
      <c r="W311" s="9">
        <v>0.0702</v>
      </c>
      <c r="X311" s="9">
        <v>0.0701</v>
      </c>
      <c r="Y311" s="9">
        <v>0.0703</v>
      </c>
      <c r="Z311" s="9">
        <v>0.0705</v>
      </c>
      <c r="AA311" s="9">
        <v>0.0705</v>
      </c>
      <c r="AB311" s="9">
        <v>0.0704</v>
      </c>
      <c r="AC311" s="9">
        <v>0.0708</v>
      </c>
      <c r="AD311" s="9">
        <v>0.0709</v>
      </c>
      <c r="AE311" s="9">
        <v>0.0708</v>
      </c>
      <c r="AF311" s="9">
        <v>0.0708</v>
      </c>
      <c r="AG311" s="9">
        <v>0.071</v>
      </c>
      <c r="AH311" s="9">
        <v>0.071</v>
      </c>
      <c r="AI311" s="9">
        <v>0.0711</v>
      </c>
      <c r="AJ311" s="9">
        <v>0.0714</v>
      </c>
      <c r="AK311" s="8"/>
      <c r="AL311" s="8"/>
      <c r="AM311" s="8"/>
      <c r="AN311" s="8"/>
      <c r="AO311" s="8"/>
      <c r="AP311" s="8"/>
      <c r="AQ311" s="8"/>
    </row>
    <row r="312">
      <c r="C312" s="8" t="s">
        <v>113</v>
      </c>
      <c r="D312" s="8" t="s">
        <v>258</v>
      </c>
      <c r="E312" s="8" t="s">
        <v>118</v>
      </c>
      <c r="F312" s="8"/>
      <c r="G312" s="9">
        <v>0.0537</v>
      </c>
      <c r="H312" s="9">
        <v>0.0553</v>
      </c>
      <c r="I312" s="9">
        <v>0.0688</v>
      </c>
      <c r="J312" s="9">
        <v>0.0789</v>
      </c>
      <c r="K312" s="9">
        <v>0.0754</v>
      </c>
      <c r="L312" s="9">
        <v>0.0793</v>
      </c>
      <c r="M312" s="9">
        <v>0.0696</v>
      </c>
      <c r="N312" s="9">
        <v>0.1112</v>
      </c>
      <c r="O312" s="9">
        <v>0.1346</v>
      </c>
      <c r="P312" s="9">
        <v>0.0955</v>
      </c>
      <c r="Q312" s="9">
        <v>0.1114</v>
      </c>
      <c r="R312" s="9">
        <v>0.1131</v>
      </c>
      <c r="S312" s="9">
        <v>0.1199</v>
      </c>
      <c r="T312" s="9">
        <v>0.1038</v>
      </c>
      <c r="U312" s="9">
        <v>0.1163</v>
      </c>
      <c r="V312" s="9">
        <v>0.1282</v>
      </c>
      <c r="W312" s="9">
        <v>0.1321</v>
      </c>
      <c r="X312" s="9">
        <v>0.1344</v>
      </c>
      <c r="Y312" s="9">
        <v>0.1204</v>
      </c>
      <c r="Z312" s="9">
        <v>0.1213</v>
      </c>
      <c r="AA312" s="9">
        <v>0.1379</v>
      </c>
      <c r="AB312" s="9">
        <v>0.1203</v>
      </c>
      <c r="AC312" s="9">
        <v>0.113</v>
      </c>
      <c r="AD312" s="9">
        <v>0.1452</v>
      </c>
      <c r="AE312" s="9">
        <v>0.1547</v>
      </c>
      <c r="AF312" s="9">
        <v>0.1179</v>
      </c>
      <c r="AG312" s="9">
        <v>0.1253</v>
      </c>
      <c r="AH312" s="9">
        <v>0.124</v>
      </c>
      <c r="AI312" s="9">
        <v>0.1282</v>
      </c>
      <c r="AJ312" s="9">
        <v>0.1127</v>
      </c>
      <c r="AK312" s="8"/>
      <c r="AL312" s="8"/>
      <c r="AM312" s="8"/>
      <c r="AN312" s="8"/>
      <c r="AO312" s="8"/>
      <c r="AP312" s="8"/>
      <c r="AQ312" s="8"/>
    </row>
    <row r="313">
      <c r="A313" s="8"/>
      <c r="B313" s="65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</row>
    <row r="315">
      <c r="A315" s="61" t="s">
        <v>135</v>
      </c>
      <c r="C315" s="62" t="s">
        <v>116</v>
      </c>
      <c r="D315" s="62" t="s">
        <v>227</v>
      </c>
      <c r="E315" s="62" t="s">
        <v>118</v>
      </c>
      <c r="F315" s="62"/>
      <c r="G315" s="71">
        <f t="shared" ref="G315:G326" si="180">G300-0.0537</f>
        <v>0.4009</v>
      </c>
      <c r="H315" s="71">
        <f t="shared" ref="H315:H326" si="181">H300-0.0533</f>
        <v>0.4586</v>
      </c>
      <c r="I315" s="71">
        <f t="shared" ref="I315:I326" si="182">I300-0.0688</f>
        <v>0.5024</v>
      </c>
      <c r="J315" s="71">
        <f t="shared" ref="J315:J326" si="183">J300-0.0789</f>
        <v>0.5529</v>
      </c>
      <c r="K315" s="71">
        <f t="shared" ref="K315:K326" si="184">K300-0.0754</f>
        <v>0.6222</v>
      </c>
      <c r="L315" s="71">
        <f t="shared" ref="L315:L326" si="185">L300-0.0793</f>
        <v>0.6825</v>
      </c>
      <c r="M315" s="71">
        <f t="shared" ref="M315:M326" si="186">M300-0.0696</f>
        <v>0.7602</v>
      </c>
      <c r="N315" s="71">
        <f t="shared" ref="N315:N326" si="187">N300-0.1112</f>
        <v>0.7873</v>
      </c>
      <c r="O315" s="71">
        <f t="shared" ref="O315:O326" si="188">O300-0.1346</f>
        <v>0.8331</v>
      </c>
      <c r="P315" s="71">
        <f t="shared" ref="P315:P326" si="189">P300-0.0955</f>
        <v>0.9435</v>
      </c>
      <c r="Q315" s="71">
        <f t="shared" ref="Q315:Q326" si="190">Q300-0.1114</f>
        <v>0.9998</v>
      </c>
      <c r="R315" s="71">
        <f t="shared" ref="R315:R326" si="191">R300-0.1131</f>
        <v>1.0689</v>
      </c>
      <c r="S315" s="71">
        <f t="shared" ref="S315:S326" si="192">S300-0.1199</f>
        <v>1.135</v>
      </c>
      <c r="T315" s="71">
        <f t="shared" ref="T315:T326" si="193">T300-0.1038</f>
        <v>1.2243</v>
      </c>
      <c r="U315" s="71">
        <f t="shared" ref="U315:U326" si="194">U300-0.1163</f>
        <v>1.2879</v>
      </c>
      <c r="V315" s="71">
        <f t="shared" ref="V315:V326" si="195">V300-0.1282</f>
        <v>1.3538</v>
      </c>
      <c r="W315" s="71">
        <f t="shared" ref="W315:W326" si="196">W300-0.1321</f>
        <v>1.4227</v>
      </c>
      <c r="X315" s="71">
        <f t="shared" ref="X315:X326" si="197">X300-0.1344</f>
        <v>1.4969</v>
      </c>
      <c r="Y315" s="71">
        <f t="shared" ref="Y315:Y326" si="198">Y300-0.1204</f>
        <v>1.5852</v>
      </c>
      <c r="Z315" s="71">
        <f t="shared" ref="Z315:Z326" si="199">Z300-0.1213</f>
        <v>1.6581</v>
      </c>
      <c r="AA315" s="71">
        <f t="shared" ref="AA315:AA326" si="200">AA300-0.1379</f>
        <v>1.7183</v>
      </c>
      <c r="AB315" s="71">
        <f t="shared" ref="AB315:AB326" si="201">AB300-0.1203</f>
        <v>1.8117</v>
      </c>
      <c r="AC315" s="71">
        <f t="shared" ref="AC315:AC326" si="202">AC300-0.113</f>
        <v>1.8956</v>
      </c>
      <c r="AD315" s="71">
        <f t="shared" ref="AD315:AD326" si="203">AD300-0.1452</f>
        <v>1.9356</v>
      </c>
      <c r="AE315" s="71">
        <f t="shared" ref="AE315:AE326" si="204">AE300-0.1547</f>
        <v>1.9982</v>
      </c>
      <c r="AF315" s="71">
        <f t="shared" ref="AF315:AF326" si="205">AF300-0.1179</f>
        <v>2.1108</v>
      </c>
      <c r="AG315" s="71">
        <f t="shared" ref="AG315:AG326" si="206">AG300-0.1253</f>
        <v>2.1745</v>
      </c>
      <c r="AH315" s="71">
        <f t="shared" ref="AH315:AH326" si="207">AH300-0.124</f>
        <v>2.2559</v>
      </c>
      <c r="AI315" s="71">
        <f t="shared" ref="AI315:AI326" si="208">AI300-0.1282</f>
        <v>2.3195</v>
      </c>
      <c r="AJ315" s="71">
        <f t="shared" ref="AJ315:AJ326" si="209">AJ300-0.1127</f>
        <v>2.4051</v>
      </c>
      <c r="AK315" s="8"/>
      <c r="AL315" s="8"/>
      <c r="AM315" s="8"/>
      <c r="AN315" s="8"/>
      <c r="AO315" s="8"/>
      <c r="AP315" s="8"/>
      <c r="AQ315" s="8"/>
    </row>
    <row r="316">
      <c r="C316" s="62" t="s">
        <v>116</v>
      </c>
      <c r="D316" s="62" t="s">
        <v>228</v>
      </c>
      <c r="E316" s="62" t="s">
        <v>118</v>
      </c>
      <c r="F316" s="62"/>
      <c r="G316" s="71">
        <f t="shared" si="180"/>
        <v>0.3878</v>
      </c>
      <c r="H316" s="71">
        <f t="shared" si="181"/>
        <v>0.4427</v>
      </c>
      <c r="I316" s="71">
        <f t="shared" si="182"/>
        <v>0.4826</v>
      </c>
      <c r="J316" s="71">
        <f t="shared" si="183"/>
        <v>0.5339</v>
      </c>
      <c r="K316" s="71">
        <f t="shared" si="184"/>
        <v>0.598</v>
      </c>
      <c r="L316" s="71">
        <f t="shared" si="185"/>
        <v>0.6573</v>
      </c>
      <c r="M316" s="71">
        <f t="shared" si="186"/>
        <v>0.7294</v>
      </c>
      <c r="N316" s="71">
        <f t="shared" si="187"/>
        <v>0.7513</v>
      </c>
      <c r="O316" s="71">
        <f t="shared" si="188"/>
        <v>0.7931</v>
      </c>
      <c r="P316" s="71">
        <f t="shared" si="189"/>
        <v>0.8976</v>
      </c>
      <c r="Q316" s="71">
        <f t="shared" si="190"/>
        <v>0.9499</v>
      </c>
      <c r="R316" s="71">
        <f t="shared" si="191"/>
        <v>1.0114</v>
      </c>
      <c r="S316" s="71">
        <f t="shared" si="192"/>
        <v>1.0707</v>
      </c>
      <c r="T316" s="71">
        <f t="shared" si="193"/>
        <v>1.1544</v>
      </c>
      <c r="U316" s="71">
        <f t="shared" si="194"/>
        <v>1.2061</v>
      </c>
      <c r="V316" s="71">
        <f t="shared" si="195"/>
        <v>1.26</v>
      </c>
      <c r="W316" s="71">
        <f t="shared" si="196"/>
        <v>1.3202</v>
      </c>
      <c r="X316" s="71">
        <f t="shared" si="197"/>
        <v>1.3833</v>
      </c>
      <c r="Y316" s="71">
        <f t="shared" si="198"/>
        <v>1.4611</v>
      </c>
      <c r="Z316" s="71">
        <f t="shared" si="199"/>
        <v>1.5206</v>
      </c>
      <c r="AA316" s="71">
        <f t="shared" si="200"/>
        <v>1.5684</v>
      </c>
      <c r="AB316" s="71">
        <f t="shared" si="201"/>
        <v>1.6452</v>
      </c>
      <c r="AC316" s="71">
        <f t="shared" si="202"/>
        <v>1.7141</v>
      </c>
      <c r="AD316" s="71">
        <f t="shared" si="203"/>
        <v>1.7408</v>
      </c>
      <c r="AE316" s="71">
        <f t="shared" si="204"/>
        <v>1.7859</v>
      </c>
      <c r="AF316" s="71">
        <f t="shared" si="205"/>
        <v>1.8774</v>
      </c>
      <c r="AG316" s="71">
        <f t="shared" si="206"/>
        <v>1.9193</v>
      </c>
      <c r="AH316" s="71">
        <f t="shared" si="207"/>
        <v>1.9699</v>
      </c>
      <c r="AI316" s="71">
        <f t="shared" si="208"/>
        <v>2.0087</v>
      </c>
      <c r="AJ316" s="71">
        <f t="shared" si="209"/>
        <v>2.0672</v>
      </c>
      <c r="AK316" s="8"/>
      <c r="AL316" s="8"/>
      <c r="AM316" s="8"/>
      <c r="AN316" s="8"/>
      <c r="AO316" s="8"/>
      <c r="AP316" s="8"/>
      <c r="AQ316" s="8"/>
    </row>
    <row r="317">
      <c r="C317" s="62" t="s">
        <v>116</v>
      </c>
      <c r="D317" s="62" t="s">
        <v>229</v>
      </c>
      <c r="E317" s="62" t="s">
        <v>118</v>
      </c>
      <c r="F317" s="62"/>
      <c r="G317" s="71">
        <f t="shared" si="180"/>
        <v>0.439</v>
      </c>
      <c r="H317" s="71">
        <f t="shared" si="181"/>
        <v>0.4869</v>
      </c>
      <c r="I317" s="71">
        <f t="shared" si="182"/>
        <v>0.4957</v>
      </c>
      <c r="J317" s="71">
        <f t="shared" si="183"/>
        <v>0.5442</v>
      </c>
      <c r="K317" s="71">
        <f t="shared" si="184"/>
        <v>0.6068</v>
      </c>
      <c r="L317" s="71">
        <f t="shared" si="185"/>
        <v>0.6861</v>
      </c>
      <c r="M317" s="71">
        <f t="shared" si="186"/>
        <v>0.7259</v>
      </c>
      <c r="N317" s="71">
        <f t="shared" si="187"/>
        <v>0.7463</v>
      </c>
      <c r="O317" s="71">
        <f t="shared" si="188"/>
        <v>0.7549</v>
      </c>
      <c r="P317" s="71">
        <f t="shared" si="189"/>
        <v>0.8442</v>
      </c>
      <c r="Q317" s="71">
        <f t="shared" si="190"/>
        <v>0.8809</v>
      </c>
      <c r="R317" s="71">
        <f t="shared" si="191"/>
        <v>0.9421</v>
      </c>
      <c r="S317" s="71">
        <f t="shared" si="192"/>
        <v>0.9869</v>
      </c>
      <c r="T317" s="71">
        <f t="shared" si="193"/>
        <v>1.0396</v>
      </c>
      <c r="U317" s="71">
        <f t="shared" si="194"/>
        <v>1.0831</v>
      </c>
      <c r="V317" s="71">
        <f t="shared" si="195"/>
        <v>1.1142</v>
      </c>
      <c r="W317" s="71">
        <f t="shared" si="196"/>
        <v>1.1572</v>
      </c>
      <c r="X317" s="71">
        <f t="shared" si="197"/>
        <v>1.1859</v>
      </c>
      <c r="Y317" s="71">
        <f t="shared" si="198"/>
        <v>1.2224</v>
      </c>
      <c r="Z317" s="71">
        <f t="shared" si="199"/>
        <v>1.2499</v>
      </c>
      <c r="AA317" s="71">
        <f t="shared" si="200"/>
        <v>1.2343</v>
      </c>
      <c r="AB317" s="71">
        <f t="shared" si="201"/>
        <v>1.2529</v>
      </c>
      <c r="AC317" s="71">
        <f t="shared" si="202"/>
        <v>1.286</v>
      </c>
      <c r="AD317" s="71">
        <f t="shared" si="203"/>
        <v>1.2461</v>
      </c>
      <c r="AE317" s="71">
        <f t="shared" si="204"/>
        <v>1.2377</v>
      </c>
      <c r="AF317" s="71">
        <f t="shared" si="205"/>
        <v>1.2746</v>
      </c>
      <c r="AG317" s="71">
        <f t="shared" si="206"/>
        <v>1.2665</v>
      </c>
      <c r="AH317" s="71">
        <f t="shared" si="207"/>
        <v>1.2797</v>
      </c>
      <c r="AI317" s="71">
        <f t="shared" si="208"/>
        <v>1.2688</v>
      </c>
      <c r="AJ317" s="71">
        <f t="shared" si="209"/>
        <v>1.3163</v>
      </c>
      <c r="AK317" s="8"/>
      <c r="AL317" s="8"/>
      <c r="AM317" s="8"/>
      <c r="AN317" s="8"/>
      <c r="AO317" s="8"/>
      <c r="AP317" s="8"/>
      <c r="AQ317" s="8"/>
    </row>
    <row r="318">
      <c r="C318" s="62" t="s">
        <v>116</v>
      </c>
      <c r="D318" s="62" t="s">
        <v>230</v>
      </c>
      <c r="E318" s="62" t="s">
        <v>118</v>
      </c>
      <c r="F318" s="62"/>
      <c r="G318" s="71">
        <f t="shared" si="180"/>
        <v>0.3052</v>
      </c>
      <c r="H318" s="71">
        <f t="shared" si="181"/>
        <v>0.3493</v>
      </c>
      <c r="I318" s="71">
        <f t="shared" si="182"/>
        <v>0.3733</v>
      </c>
      <c r="J318" s="71">
        <f t="shared" si="183"/>
        <v>0.4052</v>
      </c>
      <c r="K318" s="71">
        <f t="shared" si="184"/>
        <v>0.4472</v>
      </c>
      <c r="L318" s="71">
        <f t="shared" si="185"/>
        <v>0.4725</v>
      </c>
      <c r="M318" s="71">
        <f t="shared" si="186"/>
        <v>0.5082</v>
      </c>
      <c r="N318" s="71">
        <f t="shared" si="187"/>
        <v>0.4907</v>
      </c>
      <c r="O318" s="71">
        <f t="shared" si="188"/>
        <v>0.4841</v>
      </c>
      <c r="P318" s="71">
        <f t="shared" si="189"/>
        <v>0.5365</v>
      </c>
      <c r="Q318" s="71">
        <f t="shared" si="190"/>
        <v>0.5291</v>
      </c>
      <c r="R318" s="71">
        <f t="shared" si="191"/>
        <v>0.5338</v>
      </c>
      <c r="S318" s="71">
        <f t="shared" si="192"/>
        <v>0.5299</v>
      </c>
      <c r="T318" s="71">
        <f t="shared" si="193"/>
        <v>0.5451</v>
      </c>
      <c r="U318" s="71">
        <f t="shared" si="194"/>
        <v>0.5334</v>
      </c>
      <c r="V318" s="71">
        <f t="shared" si="195"/>
        <v>0.5212</v>
      </c>
      <c r="W318" s="71">
        <f t="shared" si="196"/>
        <v>0.5185</v>
      </c>
      <c r="X318" s="71">
        <f t="shared" si="197"/>
        <v>0.5139</v>
      </c>
      <c r="Y318" s="71">
        <f t="shared" si="198"/>
        <v>0.5274</v>
      </c>
      <c r="Z318" s="71">
        <f t="shared" si="199"/>
        <v>0.5263</v>
      </c>
      <c r="AA318" s="71">
        <f t="shared" si="200"/>
        <v>0.5079</v>
      </c>
      <c r="AB318" s="71">
        <f t="shared" si="201"/>
        <v>0.5247</v>
      </c>
      <c r="AC318" s="71">
        <f t="shared" si="202"/>
        <v>0.5321</v>
      </c>
      <c r="AD318" s="71">
        <f t="shared" si="203"/>
        <v>0.4993</v>
      </c>
      <c r="AE318" s="71">
        <f t="shared" si="204"/>
        <v>0.488</v>
      </c>
      <c r="AF318" s="71">
        <f t="shared" si="205"/>
        <v>0.5262</v>
      </c>
      <c r="AG318" s="71">
        <f t="shared" si="206"/>
        <v>0.5167</v>
      </c>
      <c r="AH318" s="71">
        <f t="shared" si="207"/>
        <v>0.5175</v>
      </c>
      <c r="AI318" s="71">
        <f t="shared" si="208"/>
        <v>0.5129</v>
      </c>
      <c r="AJ318" s="71">
        <f t="shared" si="209"/>
        <v>0.5282</v>
      </c>
      <c r="AK318" s="8"/>
      <c r="AL318" s="8"/>
      <c r="AM318" s="8"/>
      <c r="AN318" s="8"/>
      <c r="AO318" s="8"/>
      <c r="AP318" s="8"/>
      <c r="AQ318" s="8"/>
    </row>
    <row r="319">
      <c r="C319" s="62" t="s">
        <v>116</v>
      </c>
      <c r="D319" s="62" t="s">
        <v>231</v>
      </c>
      <c r="E319" s="62" t="s">
        <v>118</v>
      </c>
      <c r="F319" s="62"/>
      <c r="G319" s="71">
        <f t="shared" si="180"/>
        <v>0.3277</v>
      </c>
      <c r="H319" s="71">
        <f t="shared" si="181"/>
        <v>0.3098</v>
      </c>
      <c r="I319" s="71">
        <f t="shared" si="182"/>
        <v>0.3208</v>
      </c>
      <c r="J319" s="71">
        <f t="shared" si="183"/>
        <v>0.3658</v>
      </c>
      <c r="K319" s="71">
        <f t="shared" si="184"/>
        <v>0.3865</v>
      </c>
      <c r="L319" s="71">
        <f t="shared" si="185"/>
        <v>0.3826</v>
      </c>
      <c r="M319" s="71">
        <f t="shared" si="186"/>
        <v>0.4058</v>
      </c>
      <c r="N319" s="71">
        <f t="shared" si="187"/>
        <v>0.3713</v>
      </c>
      <c r="O319" s="71">
        <f t="shared" si="188"/>
        <v>0.3628</v>
      </c>
      <c r="P319" s="71">
        <f t="shared" si="189"/>
        <v>0.4027</v>
      </c>
      <c r="Q319" s="71">
        <f t="shared" si="190"/>
        <v>0.3847</v>
      </c>
      <c r="R319" s="71">
        <f t="shared" si="191"/>
        <v>0.3817</v>
      </c>
      <c r="S319" s="71">
        <f t="shared" si="192"/>
        <v>0.3721</v>
      </c>
      <c r="T319" s="71">
        <f t="shared" si="193"/>
        <v>0.4035</v>
      </c>
      <c r="U319" s="71">
        <f t="shared" si="194"/>
        <v>0.3868</v>
      </c>
      <c r="V319" s="71">
        <f t="shared" si="195"/>
        <v>0.3895</v>
      </c>
      <c r="W319" s="71">
        <f t="shared" si="196"/>
        <v>0.3629</v>
      </c>
      <c r="X319" s="71">
        <f t="shared" si="197"/>
        <v>0.3618</v>
      </c>
      <c r="Y319" s="71">
        <f t="shared" si="198"/>
        <v>0.3771</v>
      </c>
      <c r="Z319" s="71">
        <f t="shared" si="199"/>
        <v>0.3887</v>
      </c>
      <c r="AA319" s="71">
        <f t="shared" si="200"/>
        <v>0.3703</v>
      </c>
      <c r="AB319" s="71">
        <f t="shared" si="201"/>
        <v>0.3888</v>
      </c>
      <c r="AC319" s="71">
        <f t="shared" si="202"/>
        <v>0.3796</v>
      </c>
      <c r="AD319" s="71">
        <f t="shared" si="203"/>
        <v>0.3434</v>
      </c>
      <c r="AE319" s="71">
        <f t="shared" si="204"/>
        <v>0.3362</v>
      </c>
      <c r="AF319" s="71">
        <f t="shared" si="205"/>
        <v>0.3695</v>
      </c>
      <c r="AG319" s="71">
        <f t="shared" si="206"/>
        <v>0.3691</v>
      </c>
      <c r="AH319" s="71">
        <f t="shared" si="207"/>
        <v>0.394</v>
      </c>
      <c r="AI319" s="71">
        <f t="shared" si="208"/>
        <v>0.3742</v>
      </c>
      <c r="AJ319" s="71">
        <f t="shared" si="209"/>
        <v>0.4143</v>
      </c>
      <c r="AK319" s="8"/>
      <c r="AL319" s="8"/>
      <c r="AM319" s="8"/>
      <c r="AN319" s="8"/>
      <c r="AO319" s="8"/>
      <c r="AP319" s="8"/>
      <c r="AQ319" s="8"/>
    </row>
    <row r="320">
      <c r="C320" s="62" t="s">
        <v>116</v>
      </c>
      <c r="D320" s="62" t="s">
        <v>232</v>
      </c>
      <c r="E320" s="62" t="s">
        <v>118</v>
      </c>
      <c r="F320" s="62"/>
      <c r="G320" s="71">
        <f t="shared" si="180"/>
        <v>0.2831</v>
      </c>
      <c r="H320" s="71">
        <f t="shared" si="181"/>
        <v>0.3719</v>
      </c>
      <c r="I320" s="71">
        <f t="shared" si="182"/>
        <v>0.4152</v>
      </c>
      <c r="J320" s="71">
        <f t="shared" si="183"/>
        <v>0.4596</v>
      </c>
      <c r="K320" s="71">
        <f t="shared" si="184"/>
        <v>0.4924</v>
      </c>
      <c r="L320" s="71">
        <f t="shared" si="185"/>
        <v>0.5314</v>
      </c>
      <c r="M320" s="71">
        <f t="shared" si="186"/>
        <v>0.5664</v>
      </c>
      <c r="N320" s="71">
        <f t="shared" si="187"/>
        <v>0.5635</v>
      </c>
      <c r="O320" s="71">
        <f t="shared" si="188"/>
        <v>0.5884</v>
      </c>
      <c r="P320" s="71">
        <f t="shared" si="189"/>
        <v>0.627</v>
      </c>
      <c r="Q320" s="71">
        <f t="shared" si="190"/>
        <v>0.6637</v>
      </c>
      <c r="R320" s="71">
        <f t="shared" si="191"/>
        <v>0.6508</v>
      </c>
      <c r="S320" s="71">
        <f t="shared" si="192"/>
        <v>0.6548</v>
      </c>
      <c r="T320" s="71">
        <f t="shared" si="193"/>
        <v>0.6986</v>
      </c>
      <c r="U320" s="71">
        <f t="shared" si="194"/>
        <v>0.6773</v>
      </c>
      <c r="V320" s="71">
        <f t="shared" si="195"/>
        <v>0.69</v>
      </c>
      <c r="W320" s="71">
        <f t="shared" si="196"/>
        <v>0.6889</v>
      </c>
      <c r="X320" s="71">
        <f t="shared" si="197"/>
        <v>0.6996</v>
      </c>
      <c r="Y320" s="71">
        <f t="shared" si="198"/>
        <v>0.7099</v>
      </c>
      <c r="Z320" s="71">
        <f t="shared" si="199"/>
        <v>0.7059</v>
      </c>
      <c r="AA320" s="71">
        <f t="shared" si="200"/>
        <v>0.6943</v>
      </c>
      <c r="AB320" s="71">
        <f t="shared" si="201"/>
        <v>0.6938</v>
      </c>
      <c r="AC320" s="71">
        <f t="shared" si="202"/>
        <v>0.7158</v>
      </c>
      <c r="AD320" s="71">
        <f t="shared" si="203"/>
        <v>0.6942</v>
      </c>
      <c r="AE320" s="71">
        <f t="shared" si="204"/>
        <v>0.6742</v>
      </c>
      <c r="AF320" s="71">
        <f t="shared" si="205"/>
        <v>0.6918</v>
      </c>
      <c r="AG320" s="71">
        <f t="shared" si="206"/>
        <v>0.6887</v>
      </c>
      <c r="AH320" s="71">
        <f t="shared" si="207"/>
        <v>0.7008</v>
      </c>
      <c r="AI320" s="71">
        <f t="shared" si="208"/>
        <v>0.703</v>
      </c>
      <c r="AJ320" s="71">
        <f t="shared" si="209"/>
        <v>0.7062</v>
      </c>
      <c r="AK320" s="8"/>
      <c r="AL320" s="8"/>
      <c r="AM320" s="8"/>
      <c r="AN320" s="8"/>
      <c r="AO320" s="8"/>
      <c r="AP320" s="8"/>
      <c r="AQ320" s="8"/>
    </row>
    <row r="321">
      <c r="C321" s="62" t="s">
        <v>116</v>
      </c>
      <c r="D321" s="62" t="s">
        <v>233</v>
      </c>
      <c r="E321" s="62" t="s">
        <v>118</v>
      </c>
      <c r="F321" s="62"/>
      <c r="G321" s="71">
        <f t="shared" si="180"/>
        <v>0.1587</v>
      </c>
      <c r="H321" s="71">
        <f t="shared" si="181"/>
        <v>0.1885</v>
      </c>
      <c r="I321" s="71">
        <f t="shared" si="182"/>
        <v>0.1992</v>
      </c>
      <c r="J321" s="71">
        <f t="shared" si="183"/>
        <v>0.1956</v>
      </c>
      <c r="K321" s="71">
        <f t="shared" si="184"/>
        <v>0.2013</v>
      </c>
      <c r="L321" s="71">
        <f t="shared" si="185"/>
        <v>0.1962</v>
      </c>
      <c r="M321" s="71">
        <f t="shared" si="186"/>
        <v>0.2026</v>
      </c>
      <c r="N321" s="71">
        <f t="shared" si="187"/>
        <v>0.1606</v>
      </c>
      <c r="O321" s="71">
        <f t="shared" si="188"/>
        <v>0.1403</v>
      </c>
      <c r="P321" s="71">
        <f t="shared" si="189"/>
        <v>0.1818</v>
      </c>
      <c r="Q321" s="71">
        <f t="shared" si="190"/>
        <v>0.1768</v>
      </c>
      <c r="R321" s="71">
        <f t="shared" si="191"/>
        <v>0.1633</v>
      </c>
      <c r="S321" s="71">
        <f t="shared" si="192"/>
        <v>0.1469</v>
      </c>
      <c r="T321" s="71">
        <f t="shared" si="193"/>
        <v>0.1774</v>
      </c>
      <c r="U321" s="71">
        <f t="shared" si="194"/>
        <v>0.1479</v>
      </c>
      <c r="V321" s="71">
        <f t="shared" si="195"/>
        <v>0.153</v>
      </c>
      <c r="W321" s="71">
        <f t="shared" si="196"/>
        <v>0.1483</v>
      </c>
      <c r="X321" s="71">
        <f t="shared" si="197"/>
        <v>0.1476</v>
      </c>
      <c r="Y321" s="71">
        <f t="shared" si="198"/>
        <v>0.1582</v>
      </c>
      <c r="Z321" s="71">
        <f t="shared" si="199"/>
        <v>0.1603</v>
      </c>
      <c r="AA321" s="71">
        <f t="shared" si="200"/>
        <v>0.1368</v>
      </c>
      <c r="AB321" s="71">
        <f t="shared" si="201"/>
        <v>0.1522</v>
      </c>
      <c r="AC321" s="71">
        <f t="shared" si="202"/>
        <v>0.1711</v>
      </c>
      <c r="AD321" s="71">
        <f t="shared" si="203"/>
        <v>0.132</v>
      </c>
      <c r="AE321" s="71">
        <f t="shared" si="204"/>
        <v>0.1369</v>
      </c>
      <c r="AF321" s="71">
        <f t="shared" si="205"/>
        <v>0.1629</v>
      </c>
      <c r="AG321" s="71">
        <f t="shared" si="206"/>
        <v>0.147</v>
      </c>
      <c r="AH321" s="71">
        <f t="shared" si="207"/>
        <v>0.15</v>
      </c>
      <c r="AI321" s="71">
        <f t="shared" si="208"/>
        <v>0.1568</v>
      </c>
      <c r="AJ321" s="71">
        <f t="shared" si="209"/>
        <v>0.1735</v>
      </c>
      <c r="AK321" s="8"/>
      <c r="AL321" s="8"/>
      <c r="AM321" s="8"/>
      <c r="AN321" s="8"/>
      <c r="AO321" s="8"/>
      <c r="AP321" s="8"/>
      <c r="AQ321" s="8"/>
    </row>
    <row r="322">
      <c r="C322" s="62" t="s">
        <v>116</v>
      </c>
      <c r="D322" s="62" t="s">
        <v>255</v>
      </c>
      <c r="E322" s="62" t="s">
        <v>118</v>
      </c>
      <c r="F322" s="62"/>
      <c r="G322" s="71">
        <f t="shared" si="180"/>
        <v>0.1948</v>
      </c>
      <c r="H322" s="71">
        <f t="shared" si="181"/>
        <v>0.2396</v>
      </c>
      <c r="I322" s="71">
        <f t="shared" si="182"/>
        <v>0.2958</v>
      </c>
      <c r="J322" s="71">
        <f t="shared" si="183"/>
        <v>0.2928</v>
      </c>
      <c r="K322" s="71">
        <f t="shared" si="184"/>
        <v>0.3292</v>
      </c>
      <c r="L322" s="71">
        <f t="shared" si="185"/>
        <v>0.3512</v>
      </c>
      <c r="M322" s="71">
        <f t="shared" si="186"/>
        <v>0.3667</v>
      </c>
      <c r="N322" s="71">
        <f t="shared" si="187"/>
        <v>0.3323</v>
      </c>
      <c r="O322" s="71">
        <f t="shared" si="188"/>
        <v>0.3242</v>
      </c>
      <c r="P322" s="71">
        <f t="shared" si="189"/>
        <v>0.3615</v>
      </c>
      <c r="Q322" s="71">
        <f t="shared" si="190"/>
        <v>0.3398</v>
      </c>
      <c r="R322" s="71">
        <f t="shared" si="191"/>
        <v>0.3426</v>
      </c>
      <c r="S322" s="71">
        <f t="shared" si="192"/>
        <v>0.3266</v>
      </c>
      <c r="T322" s="71">
        <f t="shared" si="193"/>
        <v>0.3572</v>
      </c>
      <c r="U322" s="71">
        <f t="shared" si="194"/>
        <v>0.3415</v>
      </c>
      <c r="V322" s="71">
        <f t="shared" si="195"/>
        <v>0.3295</v>
      </c>
      <c r="W322" s="71">
        <f t="shared" si="196"/>
        <v>0.3182</v>
      </c>
      <c r="X322" s="71">
        <f t="shared" si="197"/>
        <v>0.3282</v>
      </c>
      <c r="Y322" s="71">
        <f t="shared" si="198"/>
        <v>0.3418</v>
      </c>
      <c r="Z322" s="71">
        <f t="shared" si="199"/>
        <v>0.3429</v>
      </c>
      <c r="AA322" s="71">
        <f t="shared" si="200"/>
        <v>0.32</v>
      </c>
      <c r="AB322" s="71">
        <f t="shared" si="201"/>
        <v>0.3456</v>
      </c>
      <c r="AC322" s="71">
        <f t="shared" si="202"/>
        <v>0.3505</v>
      </c>
      <c r="AD322" s="71">
        <f t="shared" si="203"/>
        <v>0.3061</v>
      </c>
      <c r="AE322" s="71">
        <f t="shared" si="204"/>
        <v>0.3019</v>
      </c>
      <c r="AF322" s="71">
        <f t="shared" si="205"/>
        <v>0.3295</v>
      </c>
      <c r="AG322" s="71">
        <f t="shared" si="206"/>
        <v>0.3201</v>
      </c>
      <c r="AH322" s="71">
        <f t="shared" si="207"/>
        <v>0.3196</v>
      </c>
      <c r="AI322" s="71">
        <f t="shared" si="208"/>
        <v>0.3238</v>
      </c>
      <c r="AJ322" s="71">
        <f t="shared" si="209"/>
        <v>0.339</v>
      </c>
      <c r="AK322" s="8"/>
      <c r="AL322" s="8"/>
      <c r="AM322" s="8"/>
      <c r="AN322" s="8"/>
      <c r="AO322" s="8"/>
      <c r="AP322" s="8"/>
      <c r="AQ322" s="8"/>
    </row>
    <row r="323">
      <c r="C323" s="62" t="s">
        <v>116</v>
      </c>
      <c r="D323" s="62" t="s">
        <v>234</v>
      </c>
      <c r="E323" s="62" t="s">
        <v>118</v>
      </c>
      <c r="F323" s="62"/>
      <c r="G323" s="71">
        <f t="shared" si="180"/>
        <v>0.0857</v>
      </c>
      <c r="H323" s="71">
        <f t="shared" si="181"/>
        <v>0.0992</v>
      </c>
      <c r="I323" s="71">
        <f t="shared" si="182"/>
        <v>0.0928</v>
      </c>
      <c r="J323" s="71">
        <f t="shared" si="183"/>
        <v>0.0895</v>
      </c>
      <c r="K323" s="71">
        <f t="shared" si="184"/>
        <v>0.0964</v>
      </c>
      <c r="L323" s="71">
        <f t="shared" si="185"/>
        <v>0.0954</v>
      </c>
      <c r="M323" s="71">
        <f t="shared" si="186"/>
        <v>0.1073</v>
      </c>
      <c r="N323" s="71">
        <f t="shared" si="187"/>
        <v>0.0656</v>
      </c>
      <c r="O323" s="71">
        <f t="shared" si="188"/>
        <v>0.0423</v>
      </c>
      <c r="P323" s="71">
        <f t="shared" si="189"/>
        <v>0.082</v>
      </c>
      <c r="Q323" s="71">
        <f t="shared" si="190"/>
        <v>0.066</v>
      </c>
      <c r="R323" s="71">
        <f t="shared" si="191"/>
        <v>0.0651</v>
      </c>
      <c r="S323" s="71">
        <f t="shared" si="192"/>
        <v>0.0579</v>
      </c>
      <c r="T323" s="71">
        <f t="shared" si="193"/>
        <v>0.074</v>
      </c>
      <c r="U323" s="71">
        <f t="shared" si="194"/>
        <v>0.0615</v>
      </c>
      <c r="V323" s="71">
        <f t="shared" si="195"/>
        <v>0.0501</v>
      </c>
      <c r="W323" s="71">
        <f t="shared" si="196"/>
        <v>0.0461</v>
      </c>
      <c r="X323" s="71">
        <f t="shared" si="197"/>
        <v>0.0438</v>
      </c>
      <c r="Y323" s="71">
        <f t="shared" si="198"/>
        <v>0.0578</v>
      </c>
      <c r="Z323" s="71">
        <f t="shared" si="199"/>
        <v>0.057</v>
      </c>
      <c r="AA323" s="71">
        <f t="shared" si="200"/>
        <v>0.0413</v>
      </c>
      <c r="AB323" s="71">
        <f t="shared" si="201"/>
        <v>0.0585</v>
      </c>
      <c r="AC323" s="71">
        <f t="shared" si="202"/>
        <v>0.0665</v>
      </c>
      <c r="AD323" s="71">
        <f t="shared" si="203"/>
        <v>0.034</v>
      </c>
      <c r="AE323" s="71">
        <f t="shared" si="204"/>
        <v>0.0245</v>
      </c>
      <c r="AF323" s="71">
        <f t="shared" si="205"/>
        <v>0.061</v>
      </c>
      <c r="AG323" s="71">
        <f t="shared" si="206"/>
        <v>0.0547</v>
      </c>
      <c r="AH323" s="71">
        <f t="shared" si="207"/>
        <v>0.0552</v>
      </c>
      <c r="AI323" s="71">
        <f t="shared" si="208"/>
        <v>0.0533</v>
      </c>
      <c r="AJ323" s="71">
        <f t="shared" si="209"/>
        <v>0.067</v>
      </c>
      <c r="AK323" s="8"/>
      <c r="AL323" s="8"/>
      <c r="AM323" s="8"/>
      <c r="AN323" s="8"/>
      <c r="AO323" s="8"/>
      <c r="AP323" s="8"/>
      <c r="AQ323" s="8"/>
    </row>
    <row r="324">
      <c r="C324" s="62" t="s">
        <v>116</v>
      </c>
      <c r="D324" s="62" t="s">
        <v>256</v>
      </c>
      <c r="E324" s="62" t="s">
        <v>118</v>
      </c>
      <c r="F324" s="62"/>
      <c r="G324" s="71">
        <f t="shared" si="180"/>
        <v>0.2197</v>
      </c>
      <c r="H324" s="71">
        <f t="shared" si="181"/>
        <v>0.3355</v>
      </c>
      <c r="I324" s="71">
        <f t="shared" si="182"/>
        <v>0.3819</v>
      </c>
      <c r="J324" s="71">
        <f t="shared" si="183"/>
        <v>0.403</v>
      </c>
      <c r="K324" s="71">
        <f t="shared" si="184"/>
        <v>0.4558</v>
      </c>
      <c r="L324" s="71">
        <f t="shared" si="185"/>
        <v>0.5387</v>
      </c>
      <c r="M324" s="71">
        <f t="shared" si="186"/>
        <v>0.6213</v>
      </c>
      <c r="N324" s="71">
        <f t="shared" si="187"/>
        <v>0.6579</v>
      </c>
      <c r="O324" s="71">
        <f t="shared" si="188"/>
        <v>0.6606</v>
      </c>
      <c r="P324" s="71">
        <f t="shared" si="189"/>
        <v>0.7585</v>
      </c>
      <c r="Q324" s="71">
        <f t="shared" si="190"/>
        <v>0.8044</v>
      </c>
      <c r="R324" s="71">
        <f t="shared" si="191"/>
        <v>0.8762</v>
      </c>
      <c r="S324" s="71">
        <f t="shared" si="192"/>
        <v>0.9289</v>
      </c>
      <c r="T324" s="71">
        <f t="shared" si="193"/>
        <v>1.0147</v>
      </c>
      <c r="U324" s="71">
        <f t="shared" si="194"/>
        <v>1.0827</v>
      </c>
      <c r="V324" s="71">
        <f t="shared" si="195"/>
        <v>1.1373</v>
      </c>
      <c r="W324" s="71">
        <f t="shared" si="196"/>
        <v>1.2122</v>
      </c>
      <c r="X324" s="71">
        <f t="shared" si="197"/>
        <v>1.2794</v>
      </c>
      <c r="Y324" s="71">
        <f t="shared" si="198"/>
        <v>1.3619</v>
      </c>
      <c r="Z324" s="71">
        <f t="shared" si="199"/>
        <v>1.4365</v>
      </c>
      <c r="AA324" s="71">
        <f t="shared" si="200"/>
        <v>1.4902</v>
      </c>
      <c r="AB324" s="71">
        <f t="shared" si="201"/>
        <v>1.6029</v>
      </c>
      <c r="AC324" s="71">
        <f t="shared" si="202"/>
        <v>1.667</v>
      </c>
      <c r="AD324" s="71">
        <f t="shared" si="203"/>
        <v>1.7045</v>
      </c>
      <c r="AE324" s="71">
        <f t="shared" si="204"/>
        <v>1.7769</v>
      </c>
      <c r="AF324" s="71">
        <f t="shared" si="205"/>
        <v>1.8843</v>
      </c>
      <c r="AG324" s="71">
        <f t="shared" si="206"/>
        <v>1.9476</v>
      </c>
      <c r="AH324" s="71">
        <f t="shared" si="207"/>
        <v>2.0279</v>
      </c>
      <c r="AI324" s="71">
        <f t="shared" si="208"/>
        <v>2.0924</v>
      </c>
      <c r="AJ324" s="71">
        <f t="shared" si="209"/>
        <v>2.1848</v>
      </c>
      <c r="AK324" s="8"/>
      <c r="AL324" s="8"/>
      <c r="AM324" s="8"/>
      <c r="AN324" s="8"/>
      <c r="AO324" s="8"/>
      <c r="AP324" s="8"/>
      <c r="AQ324" s="8"/>
    </row>
    <row r="325">
      <c r="C325" s="62" t="s">
        <v>116</v>
      </c>
      <c r="D325" s="62" t="s">
        <v>257</v>
      </c>
      <c r="E325" s="62" t="s">
        <v>118</v>
      </c>
      <c r="F325" s="62"/>
      <c r="G325" s="71">
        <f t="shared" si="180"/>
        <v>0.0646</v>
      </c>
      <c r="H325" s="71">
        <f t="shared" si="181"/>
        <v>0.0858</v>
      </c>
      <c r="I325" s="71">
        <f t="shared" si="182"/>
        <v>0.0923</v>
      </c>
      <c r="J325" s="71">
        <f t="shared" si="183"/>
        <v>0.1034</v>
      </c>
      <c r="K325" s="71">
        <f t="shared" si="184"/>
        <v>0.1297</v>
      </c>
      <c r="L325" s="71">
        <f t="shared" si="185"/>
        <v>0.1492</v>
      </c>
      <c r="M325" s="71">
        <f t="shared" si="186"/>
        <v>0.1835</v>
      </c>
      <c r="N325" s="71">
        <f t="shared" si="187"/>
        <v>0.1662</v>
      </c>
      <c r="O325" s="71">
        <f t="shared" si="188"/>
        <v>0.1698</v>
      </c>
      <c r="P325" s="71">
        <f t="shared" si="189"/>
        <v>0.2336</v>
      </c>
      <c r="Q325" s="71">
        <f t="shared" si="190"/>
        <v>0.2409</v>
      </c>
      <c r="R325" s="71">
        <f t="shared" si="191"/>
        <v>0.2689</v>
      </c>
      <c r="S325" s="71">
        <f t="shared" si="192"/>
        <v>0.2804</v>
      </c>
      <c r="T325" s="71">
        <f t="shared" si="193"/>
        <v>0.3221</v>
      </c>
      <c r="U325" s="71">
        <f t="shared" si="194"/>
        <v>0.3359</v>
      </c>
      <c r="V325" s="71">
        <f t="shared" si="195"/>
        <v>0.351</v>
      </c>
      <c r="W325" s="71">
        <f t="shared" si="196"/>
        <v>0.3718</v>
      </c>
      <c r="X325" s="71">
        <f t="shared" si="197"/>
        <v>0.3941</v>
      </c>
      <c r="Y325" s="71">
        <f t="shared" si="198"/>
        <v>0.4349</v>
      </c>
      <c r="Z325" s="71">
        <f t="shared" si="199"/>
        <v>0.4672</v>
      </c>
      <c r="AA325" s="71">
        <f t="shared" si="200"/>
        <v>0.4696</v>
      </c>
      <c r="AB325" s="71">
        <f t="shared" si="201"/>
        <v>0.5182</v>
      </c>
      <c r="AC325" s="71">
        <f t="shared" si="202"/>
        <v>0.5608</v>
      </c>
      <c r="AD325" s="71">
        <f t="shared" si="203"/>
        <v>0.5578</v>
      </c>
      <c r="AE325" s="71">
        <f t="shared" si="204"/>
        <v>0.5708</v>
      </c>
      <c r="AF325" s="71">
        <f t="shared" si="205"/>
        <v>0.6309</v>
      </c>
      <c r="AG325" s="71">
        <f t="shared" si="206"/>
        <v>0.6463</v>
      </c>
      <c r="AH325" s="71">
        <f t="shared" si="207"/>
        <v>0.6818</v>
      </c>
      <c r="AI325" s="71">
        <f t="shared" si="208"/>
        <v>0.6983</v>
      </c>
      <c r="AJ325" s="71">
        <f t="shared" si="209"/>
        <v>0.7465</v>
      </c>
      <c r="AK325" s="8"/>
      <c r="AL325" s="8"/>
      <c r="AM325" s="8"/>
      <c r="AN325" s="8"/>
      <c r="AO325" s="8"/>
      <c r="AP325" s="8"/>
      <c r="AQ325" s="8"/>
    </row>
    <row r="326">
      <c r="C326" s="62" t="s">
        <v>109</v>
      </c>
      <c r="D326" s="62" t="s">
        <v>227</v>
      </c>
      <c r="E326" s="62" t="s">
        <v>118</v>
      </c>
      <c r="F326" s="62"/>
      <c r="G326" s="71">
        <f t="shared" si="180"/>
        <v>0.0154</v>
      </c>
      <c r="H326" s="71">
        <f t="shared" si="181"/>
        <v>0.0159</v>
      </c>
      <c r="I326" s="71">
        <f t="shared" si="182"/>
        <v>0.0004</v>
      </c>
      <c r="J326" s="71">
        <f t="shared" si="183"/>
        <v>-0.0097</v>
      </c>
      <c r="K326" s="71">
        <f t="shared" si="184"/>
        <v>-0.0061</v>
      </c>
      <c r="L326" s="71">
        <f t="shared" si="185"/>
        <v>-0.0099</v>
      </c>
      <c r="M326" s="71">
        <f t="shared" si="186"/>
        <v>-0.0002</v>
      </c>
      <c r="N326" s="71">
        <f t="shared" si="187"/>
        <v>-0.0416</v>
      </c>
      <c r="O326" s="71">
        <f t="shared" si="188"/>
        <v>-0.0651</v>
      </c>
      <c r="P326" s="71">
        <f t="shared" si="189"/>
        <v>-0.0258</v>
      </c>
      <c r="Q326" s="71">
        <f t="shared" si="190"/>
        <v>-0.0416</v>
      </c>
      <c r="R326" s="71">
        <f t="shared" si="191"/>
        <v>-0.0432</v>
      </c>
      <c r="S326" s="71">
        <f t="shared" si="192"/>
        <v>-0.0502</v>
      </c>
      <c r="T326" s="71">
        <f t="shared" si="193"/>
        <v>-0.034</v>
      </c>
      <c r="U326" s="71">
        <f t="shared" si="194"/>
        <v>-0.0462</v>
      </c>
      <c r="V326" s="71">
        <f t="shared" si="195"/>
        <v>-0.0581</v>
      </c>
      <c r="W326" s="71">
        <f t="shared" si="196"/>
        <v>-0.0619</v>
      </c>
      <c r="X326" s="71">
        <f t="shared" si="197"/>
        <v>-0.0643</v>
      </c>
      <c r="Y326" s="71">
        <f t="shared" si="198"/>
        <v>-0.0501</v>
      </c>
      <c r="Z326" s="71">
        <f t="shared" si="199"/>
        <v>-0.0508</v>
      </c>
      <c r="AA326" s="71">
        <f t="shared" si="200"/>
        <v>-0.0674</v>
      </c>
      <c r="AB326" s="71">
        <f t="shared" si="201"/>
        <v>-0.0499</v>
      </c>
      <c r="AC326" s="71">
        <f t="shared" si="202"/>
        <v>-0.0422</v>
      </c>
      <c r="AD326" s="71">
        <f t="shared" si="203"/>
        <v>-0.0743</v>
      </c>
      <c r="AE326" s="71">
        <f t="shared" si="204"/>
        <v>-0.0839</v>
      </c>
      <c r="AF326" s="71">
        <f t="shared" si="205"/>
        <v>-0.0471</v>
      </c>
      <c r="AG326" s="71">
        <f t="shared" si="206"/>
        <v>-0.0543</v>
      </c>
      <c r="AH326" s="71">
        <f t="shared" si="207"/>
        <v>-0.053</v>
      </c>
      <c r="AI326" s="71">
        <f t="shared" si="208"/>
        <v>-0.0571</v>
      </c>
      <c r="AJ326" s="71">
        <f t="shared" si="209"/>
        <v>-0.0413</v>
      </c>
      <c r="AK326" s="8"/>
      <c r="AL326" s="8"/>
      <c r="AM326" s="8"/>
      <c r="AN326" s="8"/>
      <c r="AO326" s="8"/>
      <c r="AP326" s="8"/>
      <c r="AQ326" s="8"/>
    </row>
    <row r="327">
      <c r="A327" s="61"/>
      <c r="B327" s="61"/>
      <c r="C327" s="8"/>
      <c r="D327" s="8"/>
      <c r="E327" s="8"/>
      <c r="F327" s="8"/>
      <c r="G327" s="8"/>
      <c r="H327" s="8"/>
      <c r="I327" s="76"/>
      <c r="J327" s="8"/>
      <c r="K327" s="8"/>
      <c r="L327" s="8"/>
      <c r="M327" s="76"/>
      <c r="N327" s="76"/>
      <c r="O327" s="8"/>
      <c r="P327" s="8"/>
      <c r="Q327" s="8"/>
      <c r="R327" s="8"/>
      <c r="S327" s="8"/>
      <c r="T327" s="8"/>
      <c r="U327" s="8"/>
      <c r="V327" s="8"/>
      <c r="W327" s="76"/>
      <c r="X327" s="8"/>
      <c r="Y327" s="76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</row>
    <row r="328">
      <c r="A328" s="61"/>
      <c r="B328" s="61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</row>
    <row r="329">
      <c r="A329" s="61" t="s">
        <v>138</v>
      </c>
      <c r="C329" s="8" t="s">
        <v>116</v>
      </c>
      <c r="D329" s="8" t="s">
        <v>227</v>
      </c>
      <c r="E329" s="8" t="s">
        <v>118</v>
      </c>
      <c r="F329" s="55" t="s">
        <v>139</v>
      </c>
      <c r="G329" s="66">
        <f>50/60</f>
        <v>0.8333333333</v>
      </c>
      <c r="H329" s="66">
        <f t="shared" ref="H329:AJ329" si="210">G329+1/3</f>
        <v>1.166666667</v>
      </c>
      <c r="I329" s="66">
        <f t="shared" si="210"/>
        <v>1.5</v>
      </c>
      <c r="J329" s="66">
        <f t="shared" si="210"/>
        <v>1.833333333</v>
      </c>
      <c r="K329" s="66">
        <f t="shared" si="210"/>
        <v>2.166666667</v>
      </c>
      <c r="L329" s="66">
        <f t="shared" si="210"/>
        <v>2.5</v>
      </c>
      <c r="M329" s="66">
        <f t="shared" si="210"/>
        <v>2.833333333</v>
      </c>
      <c r="N329" s="66">
        <f t="shared" si="210"/>
        <v>3.166666667</v>
      </c>
      <c r="O329" s="66">
        <f t="shared" si="210"/>
        <v>3.5</v>
      </c>
      <c r="P329" s="66">
        <f t="shared" si="210"/>
        <v>3.833333333</v>
      </c>
      <c r="Q329" s="66">
        <f t="shared" si="210"/>
        <v>4.166666667</v>
      </c>
      <c r="R329" s="66">
        <f t="shared" si="210"/>
        <v>4.5</v>
      </c>
      <c r="S329" s="66">
        <f t="shared" si="210"/>
        <v>4.833333333</v>
      </c>
      <c r="T329" s="66">
        <f t="shared" si="210"/>
        <v>5.166666667</v>
      </c>
      <c r="U329" s="66">
        <f t="shared" si="210"/>
        <v>5.5</v>
      </c>
      <c r="V329" s="66">
        <f t="shared" si="210"/>
        <v>5.833333333</v>
      </c>
      <c r="W329" s="66">
        <f t="shared" si="210"/>
        <v>6.166666667</v>
      </c>
      <c r="X329" s="66">
        <f t="shared" si="210"/>
        <v>6.5</v>
      </c>
      <c r="Y329" s="66">
        <f t="shared" si="210"/>
        <v>6.833333333</v>
      </c>
      <c r="Z329" s="66">
        <f t="shared" si="210"/>
        <v>7.166666667</v>
      </c>
      <c r="AA329" s="66">
        <f t="shared" si="210"/>
        <v>7.5</v>
      </c>
      <c r="AB329" s="66">
        <f t="shared" si="210"/>
        <v>7.833333333</v>
      </c>
      <c r="AC329" s="66">
        <f t="shared" si="210"/>
        <v>8.166666667</v>
      </c>
      <c r="AD329" s="66">
        <f t="shared" si="210"/>
        <v>8.5</v>
      </c>
      <c r="AE329" s="66">
        <f t="shared" si="210"/>
        <v>8.833333333</v>
      </c>
      <c r="AF329" s="66">
        <f t="shared" si="210"/>
        <v>9.166666667</v>
      </c>
      <c r="AG329" s="66">
        <f t="shared" si="210"/>
        <v>9.5</v>
      </c>
      <c r="AH329" s="66">
        <f t="shared" si="210"/>
        <v>9.833333333</v>
      </c>
      <c r="AI329" s="66">
        <f t="shared" si="210"/>
        <v>10.16666667</v>
      </c>
      <c r="AJ329" s="66">
        <f t="shared" si="210"/>
        <v>10.5</v>
      </c>
      <c r="AK329" s="8"/>
      <c r="AL329" s="8"/>
      <c r="AM329" s="8"/>
      <c r="AN329" s="8"/>
      <c r="AO329" s="8"/>
      <c r="AP329" s="8"/>
      <c r="AQ329" s="8"/>
    </row>
    <row r="330">
      <c r="C330" s="8" t="s">
        <v>116</v>
      </c>
      <c r="D330" s="8" t="s">
        <v>228</v>
      </c>
      <c r="E330" s="8" t="s">
        <v>118</v>
      </c>
      <c r="F330" s="55" t="s">
        <v>139</v>
      </c>
      <c r="G330" s="66">
        <f>47/60</f>
        <v>0.7833333333</v>
      </c>
      <c r="H330" s="66">
        <f t="shared" ref="H330:AJ330" si="211">G330+1/3</f>
        <v>1.116666667</v>
      </c>
      <c r="I330" s="66">
        <f t="shared" si="211"/>
        <v>1.45</v>
      </c>
      <c r="J330" s="66">
        <f t="shared" si="211"/>
        <v>1.783333333</v>
      </c>
      <c r="K330" s="66">
        <f t="shared" si="211"/>
        <v>2.116666667</v>
      </c>
      <c r="L330" s="66">
        <f t="shared" si="211"/>
        <v>2.45</v>
      </c>
      <c r="M330" s="66">
        <f t="shared" si="211"/>
        <v>2.783333333</v>
      </c>
      <c r="N330" s="66">
        <f t="shared" si="211"/>
        <v>3.116666667</v>
      </c>
      <c r="O330" s="66">
        <f t="shared" si="211"/>
        <v>3.45</v>
      </c>
      <c r="P330" s="66">
        <f t="shared" si="211"/>
        <v>3.783333333</v>
      </c>
      <c r="Q330" s="66">
        <f t="shared" si="211"/>
        <v>4.116666667</v>
      </c>
      <c r="R330" s="66">
        <f t="shared" si="211"/>
        <v>4.45</v>
      </c>
      <c r="S330" s="66">
        <f t="shared" si="211"/>
        <v>4.783333333</v>
      </c>
      <c r="T330" s="66">
        <f t="shared" si="211"/>
        <v>5.116666667</v>
      </c>
      <c r="U330" s="66">
        <f t="shared" si="211"/>
        <v>5.45</v>
      </c>
      <c r="V330" s="66">
        <f t="shared" si="211"/>
        <v>5.783333333</v>
      </c>
      <c r="W330" s="66">
        <f t="shared" si="211"/>
        <v>6.116666667</v>
      </c>
      <c r="X330" s="66">
        <f t="shared" si="211"/>
        <v>6.45</v>
      </c>
      <c r="Y330" s="66">
        <f t="shared" si="211"/>
        <v>6.783333333</v>
      </c>
      <c r="Z330" s="66">
        <f t="shared" si="211"/>
        <v>7.116666667</v>
      </c>
      <c r="AA330" s="66">
        <f t="shared" si="211"/>
        <v>7.45</v>
      </c>
      <c r="AB330" s="66">
        <f t="shared" si="211"/>
        <v>7.783333333</v>
      </c>
      <c r="AC330" s="66">
        <f t="shared" si="211"/>
        <v>8.116666667</v>
      </c>
      <c r="AD330" s="66">
        <f t="shared" si="211"/>
        <v>8.45</v>
      </c>
      <c r="AE330" s="66">
        <f t="shared" si="211"/>
        <v>8.783333333</v>
      </c>
      <c r="AF330" s="66">
        <f t="shared" si="211"/>
        <v>9.116666667</v>
      </c>
      <c r="AG330" s="66">
        <f t="shared" si="211"/>
        <v>9.45</v>
      </c>
      <c r="AH330" s="66">
        <f t="shared" si="211"/>
        <v>9.783333333</v>
      </c>
      <c r="AI330" s="66">
        <f t="shared" si="211"/>
        <v>10.11666667</v>
      </c>
      <c r="AJ330" s="66">
        <f t="shared" si="211"/>
        <v>10.45</v>
      </c>
      <c r="AK330" s="8"/>
      <c r="AL330" s="8"/>
      <c r="AM330" s="8"/>
      <c r="AN330" s="8"/>
      <c r="AO330" s="8"/>
      <c r="AP330" s="8"/>
      <c r="AQ330" s="8"/>
    </row>
    <row r="331">
      <c r="C331" s="8" t="s">
        <v>116</v>
      </c>
      <c r="D331" s="8" t="s">
        <v>229</v>
      </c>
      <c r="E331" s="8" t="s">
        <v>118</v>
      </c>
      <c r="F331" s="55" t="s">
        <v>139</v>
      </c>
      <c r="G331" s="66">
        <f>44/60</f>
        <v>0.7333333333</v>
      </c>
      <c r="H331" s="66">
        <f t="shared" ref="H331:AJ331" si="212">G331+1/3</f>
        <v>1.066666667</v>
      </c>
      <c r="I331" s="66">
        <f t="shared" si="212"/>
        <v>1.4</v>
      </c>
      <c r="J331" s="66">
        <f t="shared" si="212"/>
        <v>1.733333333</v>
      </c>
      <c r="K331" s="66">
        <f t="shared" si="212"/>
        <v>2.066666667</v>
      </c>
      <c r="L331" s="66">
        <f t="shared" si="212"/>
        <v>2.4</v>
      </c>
      <c r="M331" s="66">
        <f t="shared" si="212"/>
        <v>2.733333333</v>
      </c>
      <c r="N331" s="66">
        <f t="shared" si="212"/>
        <v>3.066666667</v>
      </c>
      <c r="O331" s="66">
        <f t="shared" si="212"/>
        <v>3.4</v>
      </c>
      <c r="P331" s="66">
        <f t="shared" si="212"/>
        <v>3.733333333</v>
      </c>
      <c r="Q331" s="66">
        <f t="shared" si="212"/>
        <v>4.066666667</v>
      </c>
      <c r="R331" s="66">
        <f t="shared" si="212"/>
        <v>4.4</v>
      </c>
      <c r="S331" s="66">
        <f t="shared" si="212"/>
        <v>4.733333333</v>
      </c>
      <c r="T331" s="66">
        <f t="shared" si="212"/>
        <v>5.066666667</v>
      </c>
      <c r="U331" s="66">
        <f t="shared" si="212"/>
        <v>5.4</v>
      </c>
      <c r="V331" s="66">
        <f t="shared" si="212"/>
        <v>5.733333333</v>
      </c>
      <c r="W331" s="66">
        <f t="shared" si="212"/>
        <v>6.066666667</v>
      </c>
      <c r="X331" s="66">
        <f t="shared" si="212"/>
        <v>6.4</v>
      </c>
      <c r="Y331" s="66">
        <f t="shared" si="212"/>
        <v>6.733333333</v>
      </c>
      <c r="Z331" s="66">
        <f t="shared" si="212"/>
        <v>7.066666667</v>
      </c>
      <c r="AA331" s="66">
        <f t="shared" si="212"/>
        <v>7.4</v>
      </c>
      <c r="AB331" s="66">
        <f t="shared" si="212"/>
        <v>7.733333333</v>
      </c>
      <c r="AC331" s="66">
        <f t="shared" si="212"/>
        <v>8.066666667</v>
      </c>
      <c r="AD331" s="66">
        <f t="shared" si="212"/>
        <v>8.4</v>
      </c>
      <c r="AE331" s="66">
        <f t="shared" si="212"/>
        <v>8.733333333</v>
      </c>
      <c r="AF331" s="66">
        <f t="shared" si="212"/>
        <v>9.066666667</v>
      </c>
      <c r="AG331" s="66">
        <f t="shared" si="212"/>
        <v>9.4</v>
      </c>
      <c r="AH331" s="66">
        <f t="shared" si="212"/>
        <v>9.733333333</v>
      </c>
      <c r="AI331" s="66">
        <f t="shared" si="212"/>
        <v>10.06666667</v>
      </c>
      <c r="AJ331" s="66">
        <f t="shared" si="212"/>
        <v>10.4</v>
      </c>
      <c r="AK331" s="8"/>
      <c r="AL331" s="8"/>
      <c r="AM331" s="8"/>
      <c r="AN331" s="8"/>
      <c r="AO331" s="8"/>
      <c r="AP331" s="8"/>
      <c r="AQ331" s="8"/>
    </row>
    <row r="332">
      <c r="C332" s="8" t="s">
        <v>116</v>
      </c>
      <c r="D332" s="8" t="s">
        <v>230</v>
      </c>
      <c r="E332" s="8" t="s">
        <v>118</v>
      </c>
      <c r="F332" s="55" t="s">
        <v>139</v>
      </c>
      <c r="G332" s="66">
        <f>41/60</f>
        <v>0.6833333333</v>
      </c>
      <c r="H332" s="66">
        <f t="shared" ref="H332:AJ332" si="213">G332+1/3</f>
        <v>1.016666667</v>
      </c>
      <c r="I332" s="66">
        <f t="shared" si="213"/>
        <v>1.35</v>
      </c>
      <c r="J332" s="66">
        <f t="shared" si="213"/>
        <v>1.683333333</v>
      </c>
      <c r="K332" s="66">
        <f t="shared" si="213"/>
        <v>2.016666667</v>
      </c>
      <c r="L332" s="66">
        <f t="shared" si="213"/>
        <v>2.35</v>
      </c>
      <c r="M332" s="66">
        <f t="shared" si="213"/>
        <v>2.683333333</v>
      </c>
      <c r="N332" s="66">
        <f t="shared" si="213"/>
        <v>3.016666667</v>
      </c>
      <c r="O332" s="66">
        <f t="shared" si="213"/>
        <v>3.35</v>
      </c>
      <c r="P332" s="66">
        <f t="shared" si="213"/>
        <v>3.683333333</v>
      </c>
      <c r="Q332" s="66">
        <f t="shared" si="213"/>
        <v>4.016666667</v>
      </c>
      <c r="R332" s="66">
        <f t="shared" si="213"/>
        <v>4.35</v>
      </c>
      <c r="S332" s="66">
        <f t="shared" si="213"/>
        <v>4.683333333</v>
      </c>
      <c r="T332" s="66">
        <f t="shared" si="213"/>
        <v>5.016666667</v>
      </c>
      <c r="U332" s="66">
        <f t="shared" si="213"/>
        <v>5.35</v>
      </c>
      <c r="V332" s="66">
        <f t="shared" si="213"/>
        <v>5.683333333</v>
      </c>
      <c r="W332" s="66">
        <f t="shared" si="213"/>
        <v>6.016666667</v>
      </c>
      <c r="X332" s="66">
        <f t="shared" si="213"/>
        <v>6.35</v>
      </c>
      <c r="Y332" s="66">
        <f t="shared" si="213"/>
        <v>6.683333333</v>
      </c>
      <c r="Z332" s="66">
        <f t="shared" si="213"/>
        <v>7.016666667</v>
      </c>
      <c r="AA332" s="66">
        <f t="shared" si="213"/>
        <v>7.35</v>
      </c>
      <c r="AB332" s="66">
        <f t="shared" si="213"/>
        <v>7.683333333</v>
      </c>
      <c r="AC332" s="66">
        <f t="shared" si="213"/>
        <v>8.016666667</v>
      </c>
      <c r="AD332" s="66">
        <f t="shared" si="213"/>
        <v>8.35</v>
      </c>
      <c r="AE332" s="66">
        <f t="shared" si="213"/>
        <v>8.683333333</v>
      </c>
      <c r="AF332" s="66">
        <f t="shared" si="213"/>
        <v>9.016666667</v>
      </c>
      <c r="AG332" s="66">
        <f t="shared" si="213"/>
        <v>9.35</v>
      </c>
      <c r="AH332" s="66">
        <f t="shared" si="213"/>
        <v>9.683333333</v>
      </c>
      <c r="AI332" s="66">
        <f t="shared" si="213"/>
        <v>10.01666667</v>
      </c>
      <c r="AJ332" s="66">
        <f t="shared" si="213"/>
        <v>10.35</v>
      </c>
      <c r="AK332" s="8"/>
      <c r="AL332" s="8"/>
      <c r="AM332" s="8"/>
      <c r="AN332" s="8"/>
      <c r="AO332" s="8"/>
      <c r="AP332" s="8"/>
      <c r="AQ332" s="8"/>
    </row>
    <row r="333">
      <c r="C333" s="8" t="s">
        <v>116</v>
      </c>
      <c r="D333" s="8" t="s">
        <v>231</v>
      </c>
      <c r="E333" s="8" t="s">
        <v>118</v>
      </c>
      <c r="F333" s="55" t="s">
        <v>139</v>
      </c>
      <c r="G333" s="66">
        <f>38/60</f>
        <v>0.6333333333</v>
      </c>
      <c r="H333" s="66">
        <f t="shared" ref="H333:AJ333" si="214">G333+1/3</f>
        <v>0.9666666667</v>
      </c>
      <c r="I333" s="66">
        <f t="shared" si="214"/>
        <v>1.3</v>
      </c>
      <c r="J333" s="66">
        <f t="shared" si="214"/>
        <v>1.633333333</v>
      </c>
      <c r="K333" s="66">
        <f t="shared" si="214"/>
        <v>1.966666667</v>
      </c>
      <c r="L333" s="66">
        <f t="shared" si="214"/>
        <v>2.3</v>
      </c>
      <c r="M333" s="66">
        <f t="shared" si="214"/>
        <v>2.633333333</v>
      </c>
      <c r="N333" s="66">
        <f t="shared" si="214"/>
        <v>2.966666667</v>
      </c>
      <c r="O333" s="66">
        <f t="shared" si="214"/>
        <v>3.3</v>
      </c>
      <c r="P333" s="66">
        <f t="shared" si="214"/>
        <v>3.633333333</v>
      </c>
      <c r="Q333" s="66">
        <f t="shared" si="214"/>
        <v>3.966666667</v>
      </c>
      <c r="R333" s="66">
        <f t="shared" si="214"/>
        <v>4.3</v>
      </c>
      <c r="S333" s="66">
        <f t="shared" si="214"/>
        <v>4.633333333</v>
      </c>
      <c r="T333" s="66">
        <f t="shared" si="214"/>
        <v>4.966666667</v>
      </c>
      <c r="U333" s="66">
        <f t="shared" si="214"/>
        <v>5.3</v>
      </c>
      <c r="V333" s="66">
        <f t="shared" si="214"/>
        <v>5.633333333</v>
      </c>
      <c r="W333" s="66">
        <f t="shared" si="214"/>
        <v>5.966666667</v>
      </c>
      <c r="X333" s="66">
        <f t="shared" si="214"/>
        <v>6.3</v>
      </c>
      <c r="Y333" s="66">
        <f t="shared" si="214"/>
        <v>6.633333333</v>
      </c>
      <c r="Z333" s="66">
        <f t="shared" si="214"/>
        <v>6.966666667</v>
      </c>
      <c r="AA333" s="66">
        <f t="shared" si="214"/>
        <v>7.3</v>
      </c>
      <c r="AB333" s="66">
        <f t="shared" si="214"/>
        <v>7.633333333</v>
      </c>
      <c r="AC333" s="66">
        <f t="shared" si="214"/>
        <v>7.966666667</v>
      </c>
      <c r="AD333" s="66">
        <f t="shared" si="214"/>
        <v>8.3</v>
      </c>
      <c r="AE333" s="66">
        <f t="shared" si="214"/>
        <v>8.633333333</v>
      </c>
      <c r="AF333" s="66">
        <f t="shared" si="214"/>
        <v>8.966666667</v>
      </c>
      <c r="AG333" s="66">
        <f t="shared" si="214"/>
        <v>9.3</v>
      </c>
      <c r="AH333" s="66">
        <f t="shared" si="214"/>
        <v>9.633333333</v>
      </c>
      <c r="AI333" s="66">
        <f t="shared" si="214"/>
        <v>9.966666667</v>
      </c>
      <c r="AJ333" s="66">
        <f t="shared" si="214"/>
        <v>10.3</v>
      </c>
      <c r="AK333" s="8"/>
      <c r="AL333" s="8"/>
      <c r="AM333" s="8"/>
      <c r="AN333" s="8"/>
      <c r="AO333" s="8"/>
      <c r="AP333" s="8"/>
      <c r="AQ333" s="8"/>
    </row>
    <row r="334">
      <c r="C334" s="8" t="s">
        <v>116</v>
      </c>
      <c r="D334" s="8" t="s">
        <v>232</v>
      </c>
      <c r="E334" s="8" t="s">
        <v>118</v>
      </c>
      <c r="F334" s="55" t="s">
        <v>139</v>
      </c>
      <c r="G334" s="66">
        <f>35/60</f>
        <v>0.5833333333</v>
      </c>
      <c r="H334" s="66">
        <f t="shared" ref="H334:AJ334" si="215">G334+1/3</f>
        <v>0.9166666667</v>
      </c>
      <c r="I334" s="66">
        <f t="shared" si="215"/>
        <v>1.25</v>
      </c>
      <c r="J334" s="66">
        <f t="shared" si="215"/>
        <v>1.583333333</v>
      </c>
      <c r="K334" s="66">
        <f t="shared" si="215"/>
        <v>1.916666667</v>
      </c>
      <c r="L334" s="66">
        <f t="shared" si="215"/>
        <v>2.25</v>
      </c>
      <c r="M334" s="66">
        <f t="shared" si="215"/>
        <v>2.583333333</v>
      </c>
      <c r="N334" s="66">
        <f t="shared" si="215"/>
        <v>2.916666667</v>
      </c>
      <c r="O334" s="66">
        <f t="shared" si="215"/>
        <v>3.25</v>
      </c>
      <c r="P334" s="66">
        <f t="shared" si="215"/>
        <v>3.583333333</v>
      </c>
      <c r="Q334" s="66">
        <f t="shared" si="215"/>
        <v>3.916666667</v>
      </c>
      <c r="R334" s="66">
        <f t="shared" si="215"/>
        <v>4.25</v>
      </c>
      <c r="S334" s="66">
        <f t="shared" si="215"/>
        <v>4.583333333</v>
      </c>
      <c r="T334" s="66">
        <f t="shared" si="215"/>
        <v>4.916666667</v>
      </c>
      <c r="U334" s="66">
        <f t="shared" si="215"/>
        <v>5.25</v>
      </c>
      <c r="V334" s="66">
        <f t="shared" si="215"/>
        <v>5.583333333</v>
      </c>
      <c r="W334" s="66">
        <f t="shared" si="215"/>
        <v>5.916666667</v>
      </c>
      <c r="X334" s="66">
        <f t="shared" si="215"/>
        <v>6.25</v>
      </c>
      <c r="Y334" s="66">
        <f t="shared" si="215"/>
        <v>6.583333333</v>
      </c>
      <c r="Z334" s="66">
        <f t="shared" si="215"/>
        <v>6.916666667</v>
      </c>
      <c r="AA334" s="66">
        <f t="shared" si="215"/>
        <v>7.25</v>
      </c>
      <c r="AB334" s="66">
        <f t="shared" si="215"/>
        <v>7.583333333</v>
      </c>
      <c r="AC334" s="66">
        <f t="shared" si="215"/>
        <v>7.916666667</v>
      </c>
      <c r="AD334" s="66">
        <f t="shared" si="215"/>
        <v>8.25</v>
      </c>
      <c r="AE334" s="66">
        <f t="shared" si="215"/>
        <v>8.583333333</v>
      </c>
      <c r="AF334" s="66">
        <f t="shared" si="215"/>
        <v>8.916666667</v>
      </c>
      <c r="AG334" s="66">
        <f t="shared" si="215"/>
        <v>9.25</v>
      </c>
      <c r="AH334" s="66">
        <f t="shared" si="215"/>
        <v>9.583333333</v>
      </c>
      <c r="AI334" s="66">
        <f t="shared" si="215"/>
        <v>9.916666667</v>
      </c>
      <c r="AJ334" s="66">
        <f t="shared" si="215"/>
        <v>10.25</v>
      </c>
      <c r="AK334" s="8"/>
      <c r="AL334" s="8"/>
      <c r="AM334" s="8"/>
      <c r="AN334" s="8"/>
      <c r="AO334" s="8"/>
      <c r="AP334" s="8"/>
      <c r="AQ334" s="8"/>
    </row>
    <row r="335">
      <c r="C335" s="8" t="s">
        <v>116</v>
      </c>
      <c r="D335" s="8" t="s">
        <v>233</v>
      </c>
      <c r="E335" s="8" t="s">
        <v>118</v>
      </c>
      <c r="F335" s="55" t="s">
        <v>139</v>
      </c>
      <c r="G335" s="66">
        <f>32/60</f>
        <v>0.5333333333</v>
      </c>
      <c r="H335" s="66">
        <f t="shared" ref="H335:AJ335" si="216">G335+1/3</f>
        <v>0.8666666667</v>
      </c>
      <c r="I335" s="66">
        <f t="shared" si="216"/>
        <v>1.2</v>
      </c>
      <c r="J335" s="66">
        <f t="shared" si="216"/>
        <v>1.533333333</v>
      </c>
      <c r="K335" s="66">
        <f t="shared" si="216"/>
        <v>1.866666667</v>
      </c>
      <c r="L335" s="66">
        <f t="shared" si="216"/>
        <v>2.2</v>
      </c>
      <c r="M335" s="66">
        <f t="shared" si="216"/>
        <v>2.533333333</v>
      </c>
      <c r="N335" s="66">
        <f t="shared" si="216"/>
        <v>2.866666667</v>
      </c>
      <c r="O335" s="66">
        <f t="shared" si="216"/>
        <v>3.2</v>
      </c>
      <c r="P335" s="66">
        <f t="shared" si="216"/>
        <v>3.533333333</v>
      </c>
      <c r="Q335" s="66">
        <f t="shared" si="216"/>
        <v>3.866666667</v>
      </c>
      <c r="R335" s="66">
        <f t="shared" si="216"/>
        <v>4.2</v>
      </c>
      <c r="S335" s="66">
        <f t="shared" si="216"/>
        <v>4.533333333</v>
      </c>
      <c r="T335" s="66">
        <f t="shared" si="216"/>
        <v>4.866666667</v>
      </c>
      <c r="U335" s="66">
        <f t="shared" si="216"/>
        <v>5.2</v>
      </c>
      <c r="V335" s="66">
        <f t="shared" si="216"/>
        <v>5.533333333</v>
      </c>
      <c r="W335" s="66">
        <f t="shared" si="216"/>
        <v>5.866666667</v>
      </c>
      <c r="X335" s="66">
        <f t="shared" si="216"/>
        <v>6.2</v>
      </c>
      <c r="Y335" s="66">
        <f t="shared" si="216"/>
        <v>6.533333333</v>
      </c>
      <c r="Z335" s="66">
        <f t="shared" si="216"/>
        <v>6.866666667</v>
      </c>
      <c r="AA335" s="66">
        <f t="shared" si="216"/>
        <v>7.2</v>
      </c>
      <c r="AB335" s="66">
        <f t="shared" si="216"/>
        <v>7.533333333</v>
      </c>
      <c r="AC335" s="66">
        <f t="shared" si="216"/>
        <v>7.866666667</v>
      </c>
      <c r="AD335" s="66">
        <f t="shared" si="216"/>
        <v>8.2</v>
      </c>
      <c r="AE335" s="66">
        <f t="shared" si="216"/>
        <v>8.533333333</v>
      </c>
      <c r="AF335" s="66">
        <f t="shared" si="216"/>
        <v>8.866666667</v>
      </c>
      <c r="AG335" s="66">
        <f t="shared" si="216"/>
        <v>9.2</v>
      </c>
      <c r="AH335" s="66">
        <f t="shared" si="216"/>
        <v>9.533333333</v>
      </c>
      <c r="AI335" s="66">
        <f t="shared" si="216"/>
        <v>9.866666667</v>
      </c>
      <c r="AJ335" s="66">
        <f t="shared" si="216"/>
        <v>10.2</v>
      </c>
      <c r="AK335" s="8"/>
      <c r="AL335" s="8"/>
      <c r="AM335" s="8"/>
      <c r="AN335" s="8"/>
      <c r="AO335" s="8"/>
      <c r="AP335" s="8"/>
      <c r="AQ335" s="8"/>
    </row>
    <row r="336">
      <c r="C336" s="8" t="s">
        <v>116</v>
      </c>
      <c r="D336" s="8" t="s">
        <v>255</v>
      </c>
      <c r="E336" s="8" t="s">
        <v>118</v>
      </c>
      <c r="F336" s="55" t="s">
        <v>139</v>
      </c>
      <c r="G336" s="66">
        <f>29/60</f>
        <v>0.4833333333</v>
      </c>
      <c r="H336" s="66">
        <f t="shared" ref="H336:AJ336" si="217">G336+1/3</f>
        <v>0.8166666667</v>
      </c>
      <c r="I336" s="66">
        <f t="shared" si="217"/>
        <v>1.15</v>
      </c>
      <c r="J336" s="66">
        <f t="shared" si="217"/>
        <v>1.483333333</v>
      </c>
      <c r="K336" s="66">
        <f t="shared" si="217"/>
        <v>1.816666667</v>
      </c>
      <c r="L336" s="66">
        <f t="shared" si="217"/>
        <v>2.15</v>
      </c>
      <c r="M336" s="66">
        <f t="shared" si="217"/>
        <v>2.483333333</v>
      </c>
      <c r="N336" s="66">
        <f t="shared" si="217"/>
        <v>2.816666667</v>
      </c>
      <c r="O336" s="66">
        <f t="shared" si="217"/>
        <v>3.15</v>
      </c>
      <c r="P336" s="66">
        <f t="shared" si="217"/>
        <v>3.483333333</v>
      </c>
      <c r="Q336" s="66">
        <f t="shared" si="217"/>
        <v>3.816666667</v>
      </c>
      <c r="R336" s="66">
        <f t="shared" si="217"/>
        <v>4.15</v>
      </c>
      <c r="S336" s="66">
        <f t="shared" si="217"/>
        <v>4.483333333</v>
      </c>
      <c r="T336" s="66">
        <f t="shared" si="217"/>
        <v>4.816666667</v>
      </c>
      <c r="U336" s="66">
        <f t="shared" si="217"/>
        <v>5.15</v>
      </c>
      <c r="V336" s="66">
        <f t="shared" si="217"/>
        <v>5.483333333</v>
      </c>
      <c r="W336" s="66">
        <f t="shared" si="217"/>
        <v>5.816666667</v>
      </c>
      <c r="X336" s="66">
        <f t="shared" si="217"/>
        <v>6.15</v>
      </c>
      <c r="Y336" s="66">
        <f t="shared" si="217"/>
        <v>6.483333333</v>
      </c>
      <c r="Z336" s="66">
        <f t="shared" si="217"/>
        <v>6.816666667</v>
      </c>
      <c r="AA336" s="66">
        <f t="shared" si="217"/>
        <v>7.15</v>
      </c>
      <c r="AB336" s="66">
        <f t="shared" si="217"/>
        <v>7.483333333</v>
      </c>
      <c r="AC336" s="66">
        <f t="shared" si="217"/>
        <v>7.816666667</v>
      </c>
      <c r="AD336" s="66">
        <f t="shared" si="217"/>
        <v>8.15</v>
      </c>
      <c r="AE336" s="66">
        <f t="shared" si="217"/>
        <v>8.483333333</v>
      </c>
      <c r="AF336" s="66">
        <f t="shared" si="217"/>
        <v>8.816666667</v>
      </c>
      <c r="AG336" s="66">
        <f t="shared" si="217"/>
        <v>9.15</v>
      </c>
      <c r="AH336" s="66">
        <f t="shared" si="217"/>
        <v>9.483333333</v>
      </c>
      <c r="AI336" s="66">
        <f t="shared" si="217"/>
        <v>9.816666667</v>
      </c>
      <c r="AJ336" s="66">
        <f t="shared" si="217"/>
        <v>10.15</v>
      </c>
      <c r="AK336" s="8"/>
      <c r="AL336" s="8"/>
      <c r="AM336" s="8"/>
      <c r="AN336" s="8"/>
      <c r="AO336" s="8"/>
      <c r="AP336" s="8"/>
      <c r="AQ336" s="8"/>
    </row>
    <row r="337">
      <c r="C337" s="8" t="s">
        <v>116</v>
      </c>
      <c r="D337" s="8" t="s">
        <v>234</v>
      </c>
      <c r="E337" s="8" t="s">
        <v>118</v>
      </c>
      <c r="F337" s="55" t="s">
        <v>139</v>
      </c>
      <c r="G337" s="66">
        <f>26/60</f>
        <v>0.4333333333</v>
      </c>
      <c r="H337" s="66">
        <f t="shared" ref="H337:AJ337" si="218">G337+1/3</f>
        <v>0.7666666667</v>
      </c>
      <c r="I337" s="66">
        <f t="shared" si="218"/>
        <v>1.1</v>
      </c>
      <c r="J337" s="66">
        <f t="shared" si="218"/>
        <v>1.433333333</v>
      </c>
      <c r="K337" s="66">
        <f t="shared" si="218"/>
        <v>1.766666667</v>
      </c>
      <c r="L337" s="66">
        <f t="shared" si="218"/>
        <v>2.1</v>
      </c>
      <c r="M337" s="66">
        <f t="shared" si="218"/>
        <v>2.433333333</v>
      </c>
      <c r="N337" s="66">
        <f t="shared" si="218"/>
        <v>2.766666667</v>
      </c>
      <c r="O337" s="66">
        <f t="shared" si="218"/>
        <v>3.1</v>
      </c>
      <c r="P337" s="66">
        <f t="shared" si="218"/>
        <v>3.433333333</v>
      </c>
      <c r="Q337" s="66">
        <f t="shared" si="218"/>
        <v>3.766666667</v>
      </c>
      <c r="R337" s="66">
        <f t="shared" si="218"/>
        <v>4.1</v>
      </c>
      <c r="S337" s="66">
        <f t="shared" si="218"/>
        <v>4.433333333</v>
      </c>
      <c r="T337" s="66">
        <f t="shared" si="218"/>
        <v>4.766666667</v>
      </c>
      <c r="U337" s="66">
        <f t="shared" si="218"/>
        <v>5.1</v>
      </c>
      <c r="V337" s="66">
        <f t="shared" si="218"/>
        <v>5.433333333</v>
      </c>
      <c r="W337" s="66">
        <f t="shared" si="218"/>
        <v>5.766666667</v>
      </c>
      <c r="X337" s="66">
        <f t="shared" si="218"/>
        <v>6.1</v>
      </c>
      <c r="Y337" s="66">
        <f t="shared" si="218"/>
        <v>6.433333333</v>
      </c>
      <c r="Z337" s="66">
        <f t="shared" si="218"/>
        <v>6.766666667</v>
      </c>
      <c r="AA337" s="66">
        <f t="shared" si="218"/>
        <v>7.1</v>
      </c>
      <c r="AB337" s="66">
        <f t="shared" si="218"/>
        <v>7.433333333</v>
      </c>
      <c r="AC337" s="66">
        <f t="shared" si="218"/>
        <v>7.766666667</v>
      </c>
      <c r="AD337" s="66">
        <f t="shared" si="218"/>
        <v>8.1</v>
      </c>
      <c r="AE337" s="66">
        <f t="shared" si="218"/>
        <v>8.433333333</v>
      </c>
      <c r="AF337" s="66">
        <f t="shared" si="218"/>
        <v>8.766666667</v>
      </c>
      <c r="AG337" s="66">
        <f t="shared" si="218"/>
        <v>9.1</v>
      </c>
      <c r="AH337" s="66">
        <f t="shared" si="218"/>
        <v>9.433333333</v>
      </c>
      <c r="AI337" s="66">
        <f t="shared" si="218"/>
        <v>9.766666667</v>
      </c>
      <c r="AJ337" s="66">
        <f t="shared" si="218"/>
        <v>10.1</v>
      </c>
      <c r="AK337" s="8"/>
      <c r="AL337" s="8"/>
      <c r="AM337" s="8"/>
      <c r="AN337" s="8"/>
      <c r="AO337" s="8"/>
      <c r="AP337" s="8"/>
      <c r="AQ337" s="8"/>
    </row>
    <row r="338">
      <c r="C338" s="8" t="s">
        <v>116</v>
      </c>
      <c r="D338" s="8" t="s">
        <v>256</v>
      </c>
      <c r="E338" s="8" t="s">
        <v>118</v>
      </c>
      <c r="F338" s="55" t="s">
        <v>139</v>
      </c>
      <c r="G338" s="66">
        <f>23/60</f>
        <v>0.3833333333</v>
      </c>
      <c r="H338" s="66">
        <f t="shared" ref="H338:AJ338" si="219">G338+1/3</f>
        <v>0.7166666667</v>
      </c>
      <c r="I338" s="66">
        <f t="shared" si="219"/>
        <v>1.05</v>
      </c>
      <c r="J338" s="66">
        <f t="shared" si="219"/>
        <v>1.383333333</v>
      </c>
      <c r="K338" s="66">
        <f t="shared" si="219"/>
        <v>1.716666667</v>
      </c>
      <c r="L338" s="66">
        <f t="shared" si="219"/>
        <v>2.05</v>
      </c>
      <c r="M338" s="66">
        <f t="shared" si="219"/>
        <v>2.383333333</v>
      </c>
      <c r="N338" s="66">
        <f t="shared" si="219"/>
        <v>2.716666667</v>
      </c>
      <c r="O338" s="66">
        <f t="shared" si="219"/>
        <v>3.05</v>
      </c>
      <c r="P338" s="66">
        <f t="shared" si="219"/>
        <v>3.383333333</v>
      </c>
      <c r="Q338" s="66">
        <f t="shared" si="219"/>
        <v>3.716666667</v>
      </c>
      <c r="R338" s="66">
        <f t="shared" si="219"/>
        <v>4.05</v>
      </c>
      <c r="S338" s="66">
        <f t="shared" si="219"/>
        <v>4.383333333</v>
      </c>
      <c r="T338" s="66">
        <f t="shared" si="219"/>
        <v>4.716666667</v>
      </c>
      <c r="U338" s="66">
        <f t="shared" si="219"/>
        <v>5.05</v>
      </c>
      <c r="V338" s="66">
        <f t="shared" si="219"/>
        <v>5.383333333</v>
      </c>
      <c r="W338" s="66">
        <f t="shared" si="219"/>
        <v>5.716666667</v>
      </c>
      <c r="X338" s="66">
        <f t="shared" si="219"/>
        <v>6.05</v>
      </c>
      <c r="Y338" s="66">
        <f t="shared" si="219"/>
        <v>6.383333333</v>
      </c>
      <c r="Z338" s="66">
        <f t="shared" si="219"/>
        <v>6.716666667</v>
      </c>
      <c r="AA338" s="66">
        <f t="shared" si="219"/>
        <v>7.05</v>
      </c>
      <c r="AB338" s="66">
        <f t="shared" si="219"/>
        <v>7.383333333</v>
      </c>
      <c r="AC338" s="66">
        <f t="shared" si="219"/>
        <v>7.716666667</v>
      </c>
      <c r="AD338" s="66">
        <f t="shared" si="219"/>
        <v>8.05</v>
      </c>
      <c r="AE338" s="66">
        <f t="shared" si="219"/>
        <v>8.383333333</v>
      </c>
      <c r="AF338" s="66">
        <f t="shared" si="219"/>
        <v>8.716666667</v>
      </c>
      <c r="AG338" s="66">
        <f t="shared" si="219"/>
        <v>9.05</v>
      </c>
      <c r="AH338" s="66">
        <f t="shared" si="219"/>
        <v>9.383333333</v>
      </c>
      <c r="AI338" s="66">
        <f t="shared" si="219"/>
        <v>9.716666667</v>
      </c>
      <c r="AJ338" s="66">
        <f t="shared" si="219"/>
        <v>10.05</v>
      </c>
      <c r="AK338" s="8"/>
      <c r="AL338" s="8"/>
      <c r="AM338" s="8"/>
      <c r="AN338" s="8"/>
      <c r="AO338" s="8"/>
      <c r="AP338" s="8"/>
      <c r="AQ338" s="8"/>
    </row>
    <row r="339">
      <c r="C339" s="8" t="s">
        <v>116</v>
      </c>
      <c r="D339" s="8" t="s">
        <v>257</v>
      </c>
      <c r="E339" s="8" t="s">
        <v>118</v>
      </c>
      <c r="F339" s="55" t="s">
        <v>139</v>
      </c>
      <c r="G339" s="66">
        <v>0.33</v>
      </c>
      <c r="H339" s="66">
        <f t="shared" ref="H339:AJ339" si="220">G339+1/3</f>
        <v>0.6633333333</v>
      </c>
      <c r="I339" s="66">
        <f t="shared" si="220"/>
        <v>0.9966666667</v>
      </c>
      <c r="J339" s="66">
        <f t="shared" si="220"/>
        <v>1.33</v>
      </c>
      <c r="K339" s="66">
        <f t="shared" si="220"/>
        <v>1.663333333</v>
      </c>
      <c r="L339" s="66">
        <f t="shared" si="220"/>
        <v>1.996666667</v>
      </c>
      <c r="M339" s="66">
        <f t="shared" si="220"/>
        <v>2.33</v>
      </c>
      <c r="N339" s="66">
        <f t="shared" si="220"/>
        <v>2.663333333</v>
      </c>
      <c r="O339" s="66">
        <f t="shared" si="220"/>
        <v>2.996666667</v>
      </c>
      <c r="P339" s="66">
        <f t="shared" si="220"/>
        <v>3.33</v>
      </c>
      <c r="Q339" s="66">
        <f t="shared" si="220"/>
        <v>3.663333333</v>
      </c>
      <c r="R339" s="66">
        <f t="shared" si="220"/>
        <v>3.996666667</v>
      </c>
      <c r="S339" s="66">
        <f t="shared" si="220"/>
        <v>4.33</v>
      </c>
      <c r="T339" s="66">
        <f t="shared" si="220"/>
        <v>4.663333333</v>
      </c>
      <c r="U339" s="66">
        <f t="shared" si="220"/>
        <v>4.996666667</v>
      </c>
      <c r="V339" s="66">
        <f t="shared" si="220"/>
        <v>5.33</v>
      </c>
      <c r="W339" s="66">
        <f t="shared" si="220"/>
        <v>5.663333333</v>
      </c>
      <c r="X339" s="66">
        <f t="shared" si="220"/>
        <v>5.996666667</v>
      </c>
      <c r="Y339" s="66">
        <f t="shared" si="220"/>
        <v>6.33</v>
      </c>
      <c r="Z339" s="66">
        <f t="shared" si="220"/>
        <v>6.663333333</v>
      </c>
      <c r="AA339" s="66">
        <f t="shared" si="220"/>
        <v>6.996666667</v>
      </c>
      <c r="AB339" s="66">
        <f t="shared" si="220"/>
        <v>7.33</v>
      </c>
      <c r="AC339" s="66">
        <f t="shared" si="220"/>
        <v>7.663333333</v>
      </c>
      <c r="AD339" s="66">
        <f t="shared" si="220"/>
        <v>7.996666667</v>
      </c>
      <c r="AE339" s="66">
        <f t="shared" si="220"/>
        <v>8.33</v>
      </c>
      <c r="AF339" s="66">
        <f t="shared" si="220"/>
        <v>8.663333333</v>
      </c>
      <c r="AG339" s="66">
        <f t="shared" si="220"/>
        <v>8.996666667</v>
      </c>
      <c r="AH339" s="66">
        <f t="shared" si="220"/>
        <v>9.33</v>
      </c>
      <c r="AI339" s="66">
        <f t="shared" si="220"/>
        <v>9.663333333</v>
      </c>
      <c r="AJ339" s="66">
        <f t="shared" si="220"/>
        <v>9.996666667</v>
      </c>
      <c r="AK339" s="8"/>
      <c r="AL339" s="8"/>
      <c r="AM339" s="8"/>
      <c r="AN339" s="8"/>
      <c r="AO339" s="8"/>
      <c r="AP339" s="8"/>
      <c r="AQ339" s="8"/>
    </row>
    <row r="340">
      <c r="C340" s="8" t="s">
        <v>109</v>
      </c>
      <c r="D340" s="8" t="s">
        <v>227</v>
      </c>
      <c r="E340" s="8" t="s">
        <v>118</v>
      </c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</row>
    <row r="342">
      <c r="A342" s="8"/>
      <c r="B342" s="8" t="s">
        <v>88</v>
      </c>
      <c r="C342" s="8" t="s">
        <v>140</v>
      </c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</row>
    <row r="343">
      <c r="A343" s="67" t="s">
        <v>141</v>
      </c>
      <c r="B343" s="8" t="s">
        <v>227</v>
      </c>
      <c r="C343" s="68">
        <f t="shared" ref="C343:C353" si="221">G315/(G329*60)</f>
        <v>0.008018</v>
      </c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</row>
    <row r="344">
      <c r="A344" s="8"/>
      <c r="B344" s="8" t="s">
        <v>228</v>
      </c>
      <c r="C344" s="68">
        <f t="shared" si="221"/>
        <v>0.00825106383</v>
      </c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</row>
    <row r="345">
      <c r="A345" s="8"/>
      <c r="B345" s="8" t="s">
        <v>229</v>
      </c>
      <c r="C345" s="68">
        <f t="shared" si="221"/>
        <v>0.009977272727</v>
      </c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</row>
    <row r="346">
      <c r="A346" s="8"/>
      <c r="B346" s="8" t="s">
        <v>230</v>
      </c>
      <c r="C346" s="68">
        <f t="shared" si="221"/>
        <v>0.007443902439</v>
      </c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</row>
    <row r="347">
      <c r="A347" s="8"/>
      <c r="B347" s="8" t="s">
        <v>231</v>
      </c>
      <c r="C347" s="68">
        <f t="shared" si="221"/>
        <v>0.008623684211</v>
      </c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</row>
    <row r="348">
      <c r="A348" s="8"/>
      <c r="B348" s="8" t="s">
        <v>232</v>
      </c>
      <c r="C348" s="68">
        <f t="shared" si="221"/>
        <v>0.008088571429</v>
      </c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</row>
    <row r="349">
      <c r="A349" s="8"/>
      <c r="B349" s="8" t="s">
        <v>233</v>
      </c>
      <c r="C349" s="68">
        <f t="shared" si="221"/>
        <v>0.004959375</v>
      </c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</row>
    <row r="350">
      <c r="A350" s="8"/>
      <c r="B350" s="8" t="s">
        <v>255</v>
      </c>
      <c r="C350" s="68">
        <f t="shared" si="221"/>
        <v>0.006717241379</v>
      </c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</row>
    <row r="351">
      <c r="A351" s="8"/>
      <c r="B351" s="8" t="s">
        <v>234</v>
      </c>
      <c r="C351" s="68">
        <f t="shared" si="221"/>
        <v>0.003296153846</v>
      </c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</row>
    <row r="352">
      <c r="A352" s="50"/>
      <c r="B352" s="8" t="s">
        <v>256</v>
      </c>
      <c r="C352" s="68">
        <f t="shared" si="221"/>
        <v>0.009552173913</v>
      </c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</row>
    <row r="353">
      <c r="A353" s="50"/>
      <c r="B353" s="8" t="s">
        <v>257</v>
      </c>
      <c r="C353" s="68">
        <f t="shared" si="221"/>
        <v>0.003262626263</v>
      </c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</row>
    <row r="354">
      <c r="A354" s="88"/>
      <c r="B354" s="69"/>
      <c r="C354" s="8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69"/>
      <c r="AN354" s="69"/>
      <c r="AO354" s="69"/>
      <c r="AP354" s="69"/>
      <c r="AQ354" s="69"/>
    </row>
    <row r="355">
      <c r="A355" s="50"/>
      <c r="B355" s="8"/>
      <c r="C355" s="72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</row>
    <row r="356">
      <c r="A356" s="50"/>
      <c r="B356" s="8"/>
      <c r="C356" s="72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</row>
    <row r="357">
      <c r="A357" s="50"/>
      <c r="B357" s="12"/>
      <c r="C357" s="72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</row>
    <row r="358">
      <c r="A358" s="90"/>
      <c r="B358" s="12" t="s">
        <v>259</v>
      </c>
      <c r="C358" s="72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</row>
    <row r="359">
      <c r="A359" s="90"/>
      <c r="B359" s="12" t="s">
        <v>260</v>
      </c>
      <c r="C359" s="72" t="s">
        <v>261</v>
      </c>
      <c r="D359" s="8" t="s">
        <v>262</v>
      </c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</row>
    <row r="360">
      <c r="A360" s="50"/>
      <c r="B360" s="8"/>
      <c r="C360" s="72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</row>
    <row r="361">
      <c r="A361" s="50"/>
      <c r="B361" s="8"/>
      <c r="C361" s="72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</row>
    <row r="362">
      <c r="A362" s="50"/>
      <c r="B362" s="8">
        <v>2.5</v>
      </c>
      <c r="C362" s="72">
        <v>0.026354</v>
      </c>
      <c r="D362" s="8">
        <v>0.004822</v>
      </c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</row>
    <row r="363">
      <c r="A363" s="50"/>
      <c r="B363" s="8">
        <v>1.25</v>
      </c>
      <c r="C363" s="72">
        <v>0.025836</v>
      </c>
      <c r="D363" s="8">
        <v>0.005215</v>
      </c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</row>
    <row r="364">
      <c r="A364" s="50"/>
      <c r="B364" s="8">
        <v>0.625</v>
      </c>
      <c r="C364" s="72">
        <v>0.025482</v>
      </c>
      <c r="D364" s="8">
        <v>0.005496</v>
      </c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</row>
    <row r="365">
      <c r="A365" s="50"/>
      <c r="B365" s="8">
        <v>0.5</v>
      </c>
      <c r="C365" s="72">
        <v>0.017306</v>
      </c>
      <c r="D365" s="8">
        <v>0.0021</v>
      </c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</row>
    <row r="366">
      <c r="A366" s="50"/>
      <c r="B366" s="8">
        <v>0.4</v>
      </c>
      <c r="C366" s="72">
        <v>0.01567</v>
      </c>
      <c r="D366" s="8">
        <v>0.002307</v>
      </c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</row>
    <row r="367">
      <c r="A367" s="50"/>
      <c r="B367" s="8">
        <v>0.3125</v>
      </c>
      <c r="C367" s="72">
        <v>0.018341</v>
      </c>
      <c r="D367" s="8">
        <v>0.004677</v>
      </c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</row>
    <row r="368">
      <c r="A368" s="50"/>
      <c r="B368" s="8">
        <v>0.2</v>
      </c>
      <c r="C368" s="72">
        <v>0.01101</v>
      </c>
      <c r="D368" s="8">
        <v>0.001745</v>
      </c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</row>
    <row r="369">
      <c r="A369" s="50"/>
      <c r="B369" s="8">
        <v>0.1563</v>
      </c>
      <c r="C369" s="72">
        <v>0.013136</v>
      </c>
      <c r="D369" s="8">
        <v>0.003633</v>
      </c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</row>
    <row r="370">
      <c r="A370" s="50"/>
      <c r="B370" s="8">
        <v>0.1</v>
      </c>
      <c r="C370" s="72">
        <v>0.006704</v>
      </c>
      <c r="D370" s="8">
        <v>0.001152</v>
      </c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</row>
    <row r="371">
      <c r="A371" s="50"/>
      <c r="B371" s="8"/>
      <c r="C371" s="72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</row>
    <row r="372">
      <c r="A372" s="50"/>
      <c r="B372" s="8"/>
      <c r="C372" s="72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</row>
    <row r="373">
      <c r="A373" s="50"/>
      <c r="B373" s="8"/>
      <c r="C373" s="72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</row>
    <row r="374">
      <c r="A374" s="50"/>
      <c r="B374" s="91" t="s">
        <v>263</v>
      </c>
      <c r="C374" s="92">
        <v>0.034534</v>
      </c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</row>
    <row r="375">
      <c r="A375" s="50"/>
      <c r="B375" s="91" t="s">
        <v>264</v>
      </c>
      <c r="C375" s="92">
        <v>0.376248</v>
      </c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</row>
    <row r="376">
      <c r="A376" s="50"/>
      <c r="B376" s="67" t="s">
        <v>265</v>
      </c>
      <c r="C376" s="93">
        <v>0.01727</v>
      </c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</row>
    <row r="377">
      <c r="A377" s="50"/>
      <c r="B377" s="8"/>
      <c r="C377" s="72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</row>
    <row r="378">
      <c r="A378" s="50"/>
      <c r="B378" s="8"/>
      <c r="C378" s="72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</row>
    <row r="379">
      <c r="A379" s="50"/>
      <c r="B379" s="8"/>
      <c r="C379" s="72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</row>
    <row r="380">
      <c r="A380" s="50"/>
      <c r="B380" s="8"/>
      <c r="C380" s="72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</row>
    <row r="381">
      <c r="A381" s="50"/>
      <c r="B381" s="8"/>
      <c r="C381" s="72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</row>
    <row r="382">
      <c r="A382" s="50"/>
      <c r="B382" s="8"/>
      <c r="C382" s="72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</row>
    <row r="383">
      <c r="A383" s="50"/>
      <c r="B383" s="8"/>
      <c r="C383" s="72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</row>
    <row r="384">
      <c r="A384" s="50"/>
      <c r="B384" s="8"/>
      <c r="C384" s="72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</row>
    <row r="385">
      <c r="A385" s="50"/>
      <c r="B385" s="8"/>
      <c r="C385" s="72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</row>
    <row r="386">
      <c r="A386" s="50"/>
      <c r="B386" s="8"/>
      <c r="C386" s="72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</row>
    <row r="387">
      <c r="A387" s="50"/>
      <c r="B387" s="8"/>
      <c r="C387" s="72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</row>
    <row r="388">
      <c r="A388" s="50"/>
      <c r="B388" s="8"/>
      <c r="C388" s="72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</row>
    <row r="393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83"/>
      <c r="AJ393" s="83"/>
      <c r="AK393" s="83"/>
      <c r="AL393" s="83"/>
      <c r="AM393" s="83"/>
      <c r="AN393" s="83"/>
      <c r="AO393" s="83"/>
      <c r="AP393" s="83"/>
      <c r="AQ393" s="83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</row>
    <row r="395">
      <c r="A395" s="8"/>
      <c r="B395" s="12"/>
      <c r="C395" s="12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</row>
    <row r="396">
      <c r="A396" s="12"/>
      <c r="B396" s="12" t="s">
        <v>259</v>
      </c>
      <c r="C396" s="12" t="s">
        <v>266</v>
      </c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</row>
    <row r="397">
      <c r="A397" s="12"/>
      <c r="B397" s="12" t="s">
        <v>260</v>
      </c>
      <c r="C397" s="12" t="s">
        <v>267</v>
      </c>
      <c r="D397" s="8" t="s">
        <v>268</v>
      </c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</row>
    <row r="398">
      <c r="A398" s="8"/>
      <c r="B398" s="9">
        <v>10.0</v>
      </c>
      <c r="C398" s="68">
        <f>AVERAGE(C35,C282,C284,C353)</f>
        <v>0.005397538289</v>
      </c>
      <c r="D398" s="9">
        <f>_xlfn.STDEV.P(C35,C282,C284,C353)/SQRT(COUNT(C35,C282,C284,C353))</f>
        <v>0.002262384774</v>
      </c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</row>
    <row r="399">
      <c r="A399" s="8"/>
      <c r="B399" s="9">
        <v>5.0</v>
      </c>
      <c r="C399" s="68">
        <f>AVERAGE(C36,C281,C283,C352)</f>
        <v>0.007880974652</v>
      </c>
      <c r="D399" s="9">
        <f>_xlfn.STDEV.P(C36,C281,C283,C352)/SQRT(COUNT(C36,C281,C283,C352))</f>
        <v>0.003066418411</v>
      </c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</row>
    <row r="400">
      <c r="A400" s="8"/>
      <c r="B400" s="9">
        <v>2.5</v>
      </c>
      <c r="C400" s="68">
        <f>AVERAGE(C37,C116,C158,C206,C217,C293,C343)</f>
        <v>0.00967270431</v>
      </c>
      <c r="D400" s="9">
        <f>_xlfn.STDEV.P(C37,C116,C158,C206,C217,C293,C343)/SQRT(COUNT(C37,C116,C158,C206,C217,C293,C343))</f>
        <v>0.001751366131</v>
      </c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</row>
    <row r="401">
      <c r="A401" s="8"/>
      <c r="B401" s="9">
        <v>1.25</v>
      </c>
      <c r="C401" s="68">
        <f>AVERAGE(C38,C117,C159,C207,C218,C292,C344)</f>
        <v>0.009479407677</v>
      </c>
      <c r="D401" s="9">
        <f>_xlfn.STDEV.P(C38,C117,C159,C207,C218,C292,C344)/SQRT(COUNT(C38,C117,C159,C207,C218,C292,C344))</f>
        <v>0.001894284423</v>
      </c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</row>
    <row r="402">
      <c r="A402" s="8"/>
      <c r="B402" s="8">
        <v>0.625</v>
      </c>
      <c r="C402" s="68">
        <f>AVERAGE(C39,C118,C160,C208,C219,C291,C345)</f>
        <v>0.009347070592</v>
      </c>
      <c r="D402" s="9">
        <f>_xlfn.STDEV.P(C39,C118,C160,C208,C219,C291,C345)/SQRT(COUNT(C39,C118,C160,C208,C219,C291,C345))</f>
        <v>0.001996473956</v>
      </c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</row>
    <row r="403">
      <c r="A403" s="8"/>
      <c r="B403" s="8">
        <v>0.5</v>
      </c>
      <c r="C403" s="68">
        <f>AVERAGE(C78,C121,C163,C209,C220,C290,C346)</f>
        <v>0.006352001276</v>
      </c>
      <c r="D403" s="9">
        <f>_xlfn.STDEV.P(C78,C121,C163,C209,C220,C290,C346)/SQRT(COUNT(C78,C121,C163,C209,C220,C290,C346))</f>
        <v>0.0007629022981</v>
      </c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</row>
    <row r="404">
      <c r="A404" s="8"/>
      <c r="B404" s="8">
        <v>0.4</v>
      </c>
      <c r="C404" s="68">
        <f>AVERAGE(C77,C122,C164,C210,C221,C289,C347)</f>
        <v>0.005745955733</v>
      </c>
      <c r="D404" s="9">
        <f>_xlfn.STDEV.P(C77,C122,C164,C210,C221,C289,C347)/SQRT(COUNT(C77,C122,C164,C210,C221,C289,C347))</f>
        <v>0.0008381374545</v>
      </c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</row>
    <row r="405">
      <c r="A405" s="8"/>
      <c r="B405" s="8">
        <v>0.3125</v>
      </c>
      <c r="C405" s="68">
        <f>AVERAGE(C40,C119,C161,C288,C348,C222,C211)</f>
        <v>0.006729144202</v>
      </c>
      <c r="D405" s="9">
        <f>_xlfn.STDEV.P(C40,C119,C161,C288,C348,C222,C211)/SQRT(COUNT(C40,C119,C161,C288,C348,C222,C211))</f>
        <v>0.001698850727</v>
      </c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</row>
    <row r="406">
      <c r="A406" s="8"/>
      <c r="B406" s="8">
        <v>0.2</v>
      </c>
      <c r="C406" s="68">
        <f>AVERAGE(C75,C212,C223,C287,C349)</f>
        <v>0.004042065862</v>
      </c>
      <c r="D406" s="9">
        <f>_xlfn.STDEV.P(C75,C212,C223,C287,C349)/SQRT(COUNT(C75,C212,C223,C287,C349))</f>
        <v>0.0006339964953</v>
      </c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</row>
    <row r="407">
      <c r="A407" s="8"/>
      <c r="B407" s="8">
        <v>0.1563</v>
      </c>
      <c r="C407" s="68">
        <f>AVERAGE(C41,C120,C162,C213,C224,C286,C350)</f>
        <v>0.004823588927</v>
      </c>
      <c r="D407" s="9">
        <f>_xlfn.STDEV.P(C41,C120,C162,C213,C224,C286,C350)/SQRT(COUNT(C41,C120,C162,C213,C224,C286,C350))</f>
        <v>0.001319673061</v>
      </c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</row>
    <row r="408">
      <c r="A408" s="8"/>
      <c r="B408" s="8">
        <v>0.1</v>
      </c>
      <c r="C408" s="68">
        <f>AVERAGE(C74,C214,C225,C285,C351)</f>
        <v>0.002460161458</v>
      </c>
      <c r="D408" s="9">
        <f>_xlfn.STDEV.P(C74,C214,C225,C285,C351)/SQRT(COUNT(C74,C214,C225,C285,C351))</f>
        <v>0.0004186143305</v>
      </c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</row>
    <row r="437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94"/>
      <c r="M437" s="94"/>
      <c r="N437" s="94"/>
      <c r="O437" s="94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  <c r="AF437" s="73"/>
      <c r="AG437" s="73"/>
      <c r="AH437" s="73"/>
      <c r="AI437" s="73"/>
      <c r="AJ437" s="73"/>
      <c r="AK437" s="73"/>
      <c r="AL437" s="73"/>
      <c r="AM437" s="73"/>
      <c r="AN437" s="73"/>
      <c r="AO437" s="73"/>
      <c r="AP437" s="73"/>
      <c r="AQ437" s="73"/>
    </row>
    <row r="438">
      <c r="A438" s="8"/>
      <c r="B438" s="12"/>
      <c r="C438" s="12"/>
      <c r="D438" s="8"/>
      <c r="E438" s="8"/>
      <c r="F438" s="8"/>
      <c r="G438" s="8"/>
      <c r="H438" s="8"/>
      <c r="I438" s="8"/>
      <c r="J438" s="8"/>
      <c r="K438" s="12"/>
      <c r="L438" s="12" t="s">
        <v>269</v>
      </c>
      <c r="M438" s="12" t="s">
        <v>270</v>
      </c>
      <c r="N438" s="12" t="s">
        <v>271</v>
      </c>
      <c r="O438" s="12" t="s">
        <v>272</v>
      </c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</row>
    <row r="439">
      <c r="A439" s="12"/>
      <c r="B439" s="12" t="s">
        <v>259</v>
      </c>
      <c r="C439" s="12" t="s">
        <v>266</v>
      </c>
      <c r="D439" s="8"/>
      <c r="E439" s="8"/>
      <c r="F439" s="8"/>
      <c r="G439" s="8"/>
      <c r="H439" s="8"/>
      <c r="I439" s="8"/>
      <c r="J439" s="8"/>
      <c r="K439" s="12"/>
      <c r="L439" s="95">
        <v>10.0</v>
      </c>
      <c r="M439" s="95">
        <v>0.015837251461988305</v>
      </c>
      <c r="N439" s="12"/>
      <c r="O439" s="12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</row>
    <row r="440">
      <c r="A440" s="12"/>
      <c r="B440" s="12" t="s">
        <v>260</v>
      </c>
      <c r="C440" s="12" t="s">
        <v>267</v>
      </c>
      <c r="D440" s="8"/>
      <c r="E440" s="8"/>
      <c r="F440" s="8"/>
      <c r="G440" s="8"/>
      <c r="H440" s="8"/>
      <c r="I440" s="8"/>
      <c r="J440" s="8"/>
      <c r="K440" s="12"/>
      <c r="L440" s="95">
        <v>5.0</v>
      </c>
      <c r="M440" s="95">
        <v>0.02056930817610063</v>
      </c>
      <c r="N440" s="12"/>
      <c r="O440" s="12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</row>
    <row r="441">
      <c r="A441" s="12"/>
      <c r="B441" s="96">
        <v>10.0</v>
      </c>
      <c r="C441" s="97">
        <f t="shared" ref="C441:C442" si="222">AVERAGE(C35)</f>
        <v>0.01321058537</v>
      </c>
      <c r="D441" s="8"/>
      <c r="E441" s="8"/>
      <c r="F441" s="8"/>
      <c r="G441" s="8"/>
      <c r="H441" s="8"/>
      <c r="I441" s="8"/>
      <c r="J441" s="8"/>
      <c r="K441" s="12"/>
      <c r="L441" s="95">
        <v>2.5</v>
      </c>
      <c r="M441" s="95">
        <v>0.015467003721174002</v>
      </c>
      <c r="N441" s="12"/>
      <c r="O441" s="12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</row>
    <row r="442">
      <c r="A442" s="12"/>
      <c r="B442" s="96">
        <v>5.0</v>
      </c>
      <c r="C442" s="97">
        <f t="shared" si="222"/>
        <v>0.01721326316</v>
      </c>
      <c r="D442" s="8"/>
      <c r="E442" s="8"/>
      <c r="F442" s="8"/>
      <c r="G442" s="8"/>
      <c r="H442" s="8"/>
      <c r="I442" s="8"/>
      <c r="J442" s="8"/>
      <c r="K442" s="12"/>
      <c r="L442" s="95">
        <v>1.25</v>
      </c>
      <c r="M442" s="95">
        <v>0.014505676328502415</v>
      </c>
      <c r="N442" s="12"/>
      <c r="O442" s="12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</row>
    <row r="443">
      <c r="A443" s="95">
        <v>5.0</v>
      </c>
      <c r="B443" s="95">
        <v>2.5</v>
      </c>
      <c r="C443" s="97">
        <f t="shared" ref="C443:C444" si="223">AVERAGE(C37,C116,C158,C206)</f>
        <v>0.01196867113</v>
      </c>
      <c r="D443" s="8"/>
      <c r="E443" s="8"/>
      <c r="F443" s="8"/>
      <c r="G443" s="8"/>
      <c r="H443" s="8"/>
      <c r="I443" s="8"/>
      <c r="J443" s="8"/>
      <c r="K443" s="12"/>
      <c r="L443" s="95">
        <v>0.7</v>
      </c>
      <c r="M443" s="95">
        <v>0.012323232323232323</v>
      </c>
      <c r="N443" s="12"/>
      <c r="O443" s="12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</row>
    <row r="444">
      <c r="A444" s="95">
        <v>5.0</v>
      </c>
      <c r="B444" s="95">
        <v>1.25</v>
      </c>
      <c r="C444" s="97">
        <f t="shared" si="223"/>
        <v>0.01192051409</v>
      </c>
      <c r="D444" s="8"/>
      <c r="E444" s="8"/>
      <c r="F444" s="8"/>
      <c r="G444" s="8"/>
      <c r="H444" s="8"/>
      <c r="I444" s="8"/>
      <c r="J444" s="8"/>
      <c r="K444" s="12"/>
      <c r="L444" s="95">
        <v>0.625</v>
      </c>
      <c r="M444" s="95">
        <v>0.013219189712584832</v>
      </c>
      <c r="N444" s="12"/>
      <c r="O444" s="12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</row>
    <row r="445">
      <c r="A445" s="12"/>
      <c r="B445" s="96">
        <v>0.7</v>
      </c>
      <c r="C445" s="98">
        <f>AVERAGE(C80)</f>
        <v>0.01232323232</v>
      </c>
      <c r="D445" s="8"/>
      <c r="E445" s="8"/>
      <c r="F445" s="8"/>
      <c r="G445" s="8"/>
      <c r="H445" s="8"/>
      <c r="I445" s="8"/>
      <c r="J445" s="8"/>
      <c r="K445" s="12"/>
      <c r="L445" s="95">
        <v>0.6</v>
      </c>
      <c r="M445" s="95">
        <v>0.010990990990990991</v>
      </c>
      <c r="N445" s="12"/>
      <c r="O445" s="12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</row>
    <row r="446">
      <c r="A446" s="95">
        <v>5.0</v>
      </c>
      <c r="B446" s="95">
        <v>0.625</v>
      </c>
      <c r="C446" s="97">
        <f>AVERAGE(C39,C118,C160,C208)</f>
        <v>0.01145645009</v>
      </c>
      <c r="D446" s="8"/>
      <c r="E446" s="8"/>
      <c r="F446" s="8"/>
      <c r="G446" s="8"/>
      <c r="H446" s="8"/>
      <c r="I446" s="8"/>
      <c r="J446" s="8"/>
      <c r="K446" s="12"/>
      <c r="L446" s="95">
        <v>0.5</v>
      </c>
      <c r="M446" s="95">
        <v>0.007597583987523895</v>
      </c>
      <c r="N446" s="12"/>
      <c r="O446" s="12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</row>
    <row r="447">
      <c r="A447" s="12"/>
      <c r="B447" s="96">
        <v>0.6</v>
      </c>
      <c r="C447" s="98">
        <f>AVERAGE(C79)</f>
        <v>0.01060869565</v>
      </c>
      <c r="D447" s="8"/>
      <c r="E447" s="8"/>
      <c r="F447" s="8"/>
      <c r="G447" s="8"/>
      <c r="H447" s="8"/>
      <c r="I447" s="8"/>
      <c r="J447" s="8"/>
      <c r="K447" s="12"/>
      <c r="L447" s="95">
        <v>0.4</v>
      </c>
      <c r="M447" s="95">
        <v>0.0061473786775452545</v>
      </c>
      <c r="N447" s="12"/>
      <c r="O447" s="12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</row>
    <row r="448">
      <c r="A448" s="12"/>
      <c r="B448" s="95">
        <v>0.5</v>
      </c>
      <c r="C448" s="97">
        <f>AVERAGE(C78,C121,C163,C209)</f>
        <v>0.007022868569</v>
      </c>
      <c r="D448" s="8"/>
      <c r="E448" s="8"/>
      <c r="F448" s="8"/>
      <c r="G448" s="8"/>
      <c r="H448" s="8"/>
      <c r="I448" s="8"/>
      <c r="J448" s="8"/>
      <c r="K448" s="12"/>
      <c r="L448" s="95">
        <v>0.3125</v>
      </c>
      <c r="M448" s="95">
        <v>0.009589840592869664</v>
      </c>
      <c r="N448" s="12"/>
      <c r="O448" s="12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</row>
    <row r="449">
      <c r="A449" s="12"/>
      <c r="B449" s="95">
        <v>0.4</v>
      </c>
      <c r="C449" s="97">
        <f>AVERAGE(C77,C122,C164,C210)</f>
        <v>0.005851206026</v>
      </c>
      <c r="D449" s="8"/>
      <c r="E449" s="8"/>
      <c r="F449" s="8"/>
      <c r="G449" s="8"/>
      <c r="H449" s="8"/>
      <c r="I449" s="8"/>
      <c r="J449" s="8"/>
      <c r="K449" s="12"/>
      <c r="L449" s="95">
        <v>0.3</v>
      </c>
      <c r="M449" s="95">
        <v>0.006625113871635611</v>
      </c>
      <c r="N449" s="12"/>
      <c r="O449" s="12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</row>
    <row r="450">
      <c r="A450" s="95">
        <v>5.0</v>
      </c>
      <c r="B450" s="95">
        <v>0.3125</v>
      </c>
      <c r="C450" s="97">
        <f>AVERAGE(C40,C119,C161)</f>
        <v>0.008848627912</v>
      </c>
      <c r="D450" s="8"/>
      <c r="E450" s="8"/>
      <c r="F450" s="8"/>
      <c r="G450" s="8"/>
      <c r="H450" s="8"/>
      <c r="I450" s="8"/>
      <c r="J450" s="8"/>
      <c r="K450" s="12"/>
      <c r="L450" s="95">
        <v>0.2</v>
      </c>
      <c r="M450" s="95">
        <v>0.004789473684210526</v>
      </c>
      <c r="N450" s="12"/>
      <c r="O450" s="12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</row>
    <row r="451">
      <c r="A451" s="12"/>
      <c r="B451" s="99">
        <v>0.3</v>
      </c>
      <c r="C451" s="98">
        <f>AVERAGE(C76,C211)</f>
        <v>0.006464008621</v>
      </c>
      <c r="D451" s="8"/>
      <c r="E451" s="8"/>
      <c r="F451" s="8"/>
      <c r="G451" s="8"/>
      <c r="H451" s="8"/>
      <c r="I451" s="8"/>
      <c r="J451" s="8"/>
      <c r="K451" s="12"/>
      <c r="L451" s="95">
        <v>0.1563</v>
      </c>
      <c r="M451" s="95">
        <v>0.006603095238095239</v>
      </c>
      <c r="N451" s="12"/>
      <c r="O451" s="12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</row>
    <row r="452">
      <c r="A452" s="12"/>
      <c r="B452" s="96">
        <v>0.2</v>
      </c>
      <c r="C452" s="97">
        <f>AVERAGE(C75,C212)</f>
        <v>0.004902197802</v>
      </c>
      <c r="D452" s="8"/>
      <c r="E452" s="8"/>
      <c r="F452" s="8"/>
      <c r="G452" s="8"/>
      <c r="H452" s="8"/>
      <c r="I452" s="8"/>
      <c r="J452" s="8"/>
      <c r="K452" s="12"/>
      <c r="L452" s="95">
        <v>0.15</v>
      </c>
      <c r="M452" s="95">
        <v>0.0018341463414634147</v>
      </c>
      <c r="N452" s="12"/>
      <c r="O452" s="12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</row>
    <row r="453">
      <c r="A453" s="95">
        <v>5.0</v>
      </c>
      <c r="B453" s="95">
        <v>0.1563</v>
      </c>
      <c r="C453" s="97">
        <f>AVERAGE(C41,C120,C162)</f>
        <v>0.006324821654</v>
      </c>
      <c r="D453" s="8"/>
      <c r="E453" s="8"/>
      <c r="F453" s="8"/>
      <c r="G453" s="8"/>
      <c r="H453" s="8"/>
      <c r="I453" s="8"/>
      <c r="J453" s="8"/>
      <c r="K453" s="12"/>
      <c r="L453" s="95">
        <v>0.1</v>
      </c>
      <c r="M453" s="95">
        <v>0.002522623642081189</v>
      </c>
      <c r="N453" s="12"/>
      <c r="O453" s="12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</row>
    <row r="454">
      <c r="A454" s="12"/>
      <c r="B454" s="99">
        <v>0.15</v>
      </c>
      <c r="C454" s="98">
        <f>AVERAGE(C213)</f>
        <v>0.003417391304</v>
      </c>
      <c r="D454" s="8"/>
      <c r="E454" s="8"/>
      <c r="F454" s="8"/>
      <c r="G454" s="8"/>
      <c r="H454" s="8"/>
      <c r="I454" s="8"/>
      <c r="J454" s="8"/>
      <c r="K454" s="12"/>
      <c r="L454" s="95">
        <v>0.07815</v>
      </c>
      <c r="M454" s="95">
        <v>0.008013838383838384</v>
      </c>
      <c r="N454" s="12"/>
      <c r="O454" s="12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</row>
    <row r="455">
      <c r="A455" s="12"/>
      <c r="B455" s="96">
        <v>0.1</v>
      </c>
      <c r="C455" s="97">
        <f>AVERAGE(C74,C214)</f>
        <v>0.002865536948</v>
      </c>
      <c r="D455" s="8"/>
      <c r="E455" s="8"/>
      <c r="F455" s="8"/>
      <c r="G455" s="8"/>
      <c r="H455" s="8"/>
      <c r="I455" s="8"/>
      <c r="J455" s="8"/>
      <c r="K455" s="12"/>
      <c r="L455" s="12"/>
      <c r="M455" s="12"/>
      <c r="N455" s="12"/>
      <c r="O455" s="12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</row>
    <row r="456">
      <c r="A456" s="12"/>
      <c r="B456" s="99">
        <v>0.07815</v>
      </c>
      <c r="C456" s="98">
        <f>AVERAGE(C42)</f>
        <v>0.008013838384</v>
      </c>
      <c r="D456" s="8"/>
      <c r="E456" s="8"/>
      <c r="F456" s="8"/>
      <c r="G456" s="8"/>
      <c r="H456" s="8"/>
      <c r="I456" s="8"/>
      <c r="J456" s="8"/>
      <c r="K456" s="12"/>
      <c r="L456" s="95">
        <v>0.31767</v>
      </c>
      <c r="M456" s="12"/>
      <c r="N456" s="95">
        <v>0.0</v>
      </c>
      <c r="O456" s="12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12"/>
      <c r="L457" s="95">
        <v>0.31767</v>
      </c>
      <c r="M457" s="12"/>
      <c r="N457" s="95">
        <v>0.001</v>
      </c>
      <c r="O457" s="12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12"/>
      <c r="L458" s="95">
        <v>0.31767</v>
      </c>
      <c r="M458" s="12"/>
      <c r="N458" s="95">
        <v>0.002</v>
      </c>
      <c r="O458" s="12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12"/>
      <c r="L459" s="95">
        <v>0.31767</v>
      </c>
      <c r="M459" s="12"/>
      <c r="N459" s="95">
        <v>0.003</v>
      </c>
      <c r="O459" s="12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</row>
    <row r="460">
      <c r="A460" s="8"/>
      <c r="B460" s="12"/>
      <c r="C460" s="12"/>
      <c r="D460" s="8"/>
      <c r="E460" s="8"/>
      <c r="F460" s="8"/>
      <c r="G460" s="8"/>
      <c r="H460" s="8"/>
      <c r="I460" s="8"/>
      <c r="J460" s="8"/>
      <c r="K460" s="12"/>
      <c r="L460" s="95">
        <v>0.31767</v>
      </c>
      <c r="M460" s="12"/>
      <c r="N460" s="95">
        <v>0.004</v>
      </c>
      <c r="O460" s="12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</row>
    <row r="461">
      <c r="A461" s="12"/>
      <c r="B461" s="12" t="s">
        <v>273</v>
      </c>
      <c r="C461" s="12" t="s">
        <v>274</v>
      </c>
      <c r="D461" s="8"/>
      <c r="E461" s="8"/>
      <c r="F461" s="8"/>
      <c r="G461" s="8"/>
      <c r="H461" s="8"/>
      <c r="I461" s="8"/>
      <c r="J461" s="8"/>
      <c r="K461" s="12"/>
      <c r="L461" s="95">
        <v>0.31767</v>
      </c>
      <c r="M461" s="12"/>
      <c r="N461" s="95">
        <v>0.005</v>
      </c>
      <c r="O461" s="12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</row>
    <row r="462">
      <c r="A462" s="12"/>
      <c r="B462" s="95">
        <f t="shared" ref="B462:C462" si="224">1/B441</f>
        <v>0.1</v>
      </c>
      <c r="C462" s="95">
        <f t="shared" si="224"/>
        <v>75.6968728</v>
      </c>
      <c r="D462" s="8"/>
      <c r="E462" s="8"/>
      <c r="F462" s="8"/>
      <c r="G462" s="8"/>
      <c r="H462" s="8"/>
      <c r="I462" s="8"/>
      <c r="J462" s="8"/>
      <c r="K462" s="12"/>
      <c r="L462" s="95">
        <v>0.31767</v>
      </c>
      <c r="M462" s="12"/>
      <c r="N462" s="95">
        <v>0.006</v>
      </c>
      <c r="O462" s="12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</row>
    <row r="463">
      <c r="A463" s="12"/>
      <c r="B463" s="95">
        <f t="shared" ref="B463:C463" si="225">1/B442</f>
        <v>0.2</v>
      </c>
      <c r="C463" s="95">
        <f t="shared" si="225"/>
        <v>58.09473723</v>
      </c>
      <c r="D463" s="8"/>
      <c r="E463" s="8"/>
      <c r="F463" s="8"/>
      <c r="G463" s="8"/>
      <c r="H463" s="8"/>
      <c r="I463" s="8"/>
      <c r="J463" s="8"/>
      <c r="K463" s="12"/>
      <c r="L463" s="95">
        <v>0.31767</v>
      </c>
      <c r="M463" s="12"/>
      <c r="N463" s="95">
        <v>0.007</v>
      </c>
      <c r="O463" s="12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</row>
    <row r="464">
      <c r="A464" s="12"/>
      <c r="B464" s="95">
        <f t="shared" ref="B464:C464" si="226">1/B443</f>
        <v>0.4</v>
      </c>
      <c r="C464" s="95">
        <f t="shared" si="226"/>
        <v>83.55146441</v>
      </c>
      <c r="D464" s="8"/>
      <c r="E464" s="8"/>
      <c r="F464" s="8"/>
      <c r="G464" s="8"/>
      <c r="H464" s="8"/>
      <c r="I464" s="8"/>
      <c r="J464" s="8"/>
      <c r="K464" s="12"/>
      <c r="L464" s="95">
        <v>0.31767</v>
      </c>
      <c r="M464" s="12"/>
      <c r="N464" s="95">
        <v>0.008</v>
      </c>
      <c r="O464" s="12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</row>
    <row r="465">
      <c r="A465" s="12"/>
      <c r="B465" s="95">
        <f t="shared" ref="B465:C465" si="227">1/B444</f>
        <v>0.8</v>
      </c>
      <c r="C465" s="95">
        <f t="shared" si="227"/>
        <v>83.88899945</v>
      </c>
      <c r="D465" s="8"/>
      <c r="E465" s="8"/>
      <c r="F465" s="8"/>
      <c r="G465" s="8"/>
      <c r="H465" s="8"/>
      <c r="I465" s="8"/>
      <c r="J465" s="8"/>
      <c r="K465" s="12"/>
      <c r="L465" s="95">
        <v>0.31767</v>
      </c>
      <c r="M465" s="12"/>
      <c r="N465" s="95">
        <v>0.009</v>
      </c>
      <c r="O465" s="12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</row>
    <row r="466">
      <c r="A466" s="12"/>
      <c r="B466" s="95">
        <f t="shared" ref="B466:C466" si="228">1/B445</f>
        <v>1.428571429</v>
      </c>
      <c r="C466" s="95">
        <f t="shared" si="228"/>
        <v>81.14754098</v>
      </c>
      <c r="D466" s="8"/>
      <c r="E466" s="8"/>
      <c r="F466" s="8"/>
      <c r="G466" s="8"/>
      <c r="H466" s="8"/>
      <c r="I466" s="8"/>
      <c r="J466" s="8"/>
      <c r="K466" s="12"/>
      <c r="L466" s="95">
        <v>0.31767</v>
      </c>
      <c r="M466" s="12"/>
      <c r="N466" s="95">
        <v>0.01</v>
      </c>
      <c r="O466" s="12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</row>
    <row r="467">
      <c r="A467" s="12"/>
      <c r="B467" s="95">
        <f t="shared" ref="B467:C467" si="229">1/B446</f>
        <v>1.6</v>
      </c>
      <c r="C467" s="95">
        <f t="shared" si="229"/>
        <v>87.2870734</v>
      </c>
      <c r="D467" s="8"/>
      <c r="E467" s="8"/>
      <c r="F467" s="8"/>
      <c r="G467" s="8"/>
      <c r="H467" s="8"/>
      <c r="I467" s="8"/>
      <c r="J467" s="8"/>
      <c r="K467" s="12"/>
      <c r="L467" s="95">
        <v>0.31767</v>
      </c>
      <c r="M467" s="12"/>
      <c r="N467" s="95">
        <v>0.011</v>
      </c>
      <c r="O467" s="12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</row>
    <row r="468">
      <c r="A468" s="12"/>
      <c r="B468" s="95">
        <f t="shared" ref="B468:C468" si="230">1/B447</f>
        <v>1.666666667</v>
      </c>
      <c r="C468" s="95">
        <f t="shared" si="230"/>
        <v>94.26229508</v>
      </c>
      <c r="D468" s="8"/>
      <c r="E468" s="8"/>
      <c r="F468" s="8"/>
      <c r="G468" s="8"/>
      <c r="H468" s="8"/>
      <c r="I468" s="8"/>
      <c r="J468" s="8"/>
      <c r="K468" s="12"/>
      <c r="L468" s="95">
        <v>0.31767</v>
      </c>
      <c r="M468" s="12"/>
      <c r="N468" s="95">
        <v>0.012</v>
      </c>
      <c r="O468" s="12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</row>
    <row r="469">
      <c r="A469" s="12"/>
      <c r="B469" s="95">
        <f t="shared" ref="B469:C469" si="231">1/B448</f>
        <v>2</v>
      </c>
      <c r="C469" s="95">
        <f t="shared" si="231"/>
        <v>142.3919571</v>
      </c>
      <c r="D469" s="8"/>
      <c r="E469" s="8"/>
      <c r="F469" s="8"/>
      <c r="G469" s="8"/>
      <c r="H469" s="8"/>
      <c r="I469" s="8"/>
      <c r="J469" s="8"/>
      <c r="K469" s="12"/>
      <c r="L469" s="95">
        <v>0.31767</v>
      </c>
      <c r="M469" s="12"/>
      <c r="N469" s="95">
        <v>0.013</v>
      </c>
      <c r="O469" s="12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</row>
    <row r="470">
      <c r="A470" s="12"/>
      <c r="B470" s="95">
        <f t="shared" ref="B470:C470" si="232">1/B449</f>
        <v>2.5</v>
      </c>
      <c r="C470" s="95">
        <f t="shared" si="232"/>
        <v>170.9049375</v>
      </c>
      <c r="D470" s="8"/>
      <c r="E470" s="8"/>
      <c r="F470" s="8"/>
      <c r="G470" s="8"/>
      <c r="H470" s="8"/>
      <c r="I470" s="8"/>
      <c r="J470" s="8"/>
      <c r="K470" s="12"/>
      <c r="L470" s="12"/>
      <c r="M470" s="12"/>
      <c r="N470" s="12"/>
      <c r="O470" s="12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</row>
    <row r="471">
      <c r="A471" s="12"/>
      <c r="B471" s="95">
        <f t="shared" ref="B471:C471" si="233">1/B450</f>
        <v>3.2</v>
      </c>
      <c r="C471" s="95">
        <f t="shared" si="233"/>
        <v>113.0118714</v>
      </c>
      <c r="D471" s="8"/>
      <c r="E471" s="8"/>
      <c r="F471" s="8"/>
      <c r="G471" s="8"/>
      <c r="H471" s="8"/>
      <c r="I471" s="8"/>
      <c r="J471" s="8"/>
      <c r="K471" s="12"/>
      <c r="L471" s="95">
        <v>2.0</v>
      </c>
      <c r="M471" s="12"/>
      <c r="N471" s="12"/>
      <c r="O471" s="95">
        <v>0.01437</v>
      </c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</row>
    <row r="472">
      <c r="A472" s="12"/>
      <c r="B472" s="95">
        <f t="shared" ref="B472:C472" si="234">1/B451</f>
        <v>3.333333333</v>
      </c>
      <c r="C472" s="95">
        <f t="shared" si="234"/>
        <v>154.702764</v>
      </c>
      <c r="D472" s="8"/>
      <c r="E472" s="8"/>
      <c r="F472" s="8"/>
      <c r="G472" s="8"/>
      <c r="H472" s="8"/>
      <c r="I472" s="8"/>
      <c r="J472" s="8"/>
      <c r="K472" s="12"/>
      <c r="L472" s="95">
        <v>2.5</v>
      </c>
      <c r="M472" s="12"/>
      <c r="N472" s="12"/>
      <c r="O472" s="95">
        <v>0.01437</v>
      </c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</row>
    <row r="473">
      <c r="A473" s="12"/>
      <c r="B473" s="95">
        <f t="shared" ref="B473:C473" si="235">1/B452</f>
        <v>5</v>
      </c>
      <c r="C473" s="95">
        <f t="shared" si="235"/>
        <v>203.9901367</v>
      </c>
      <c r="D473" s="8"/>
      <c r="E473" s="8"/>
      <c r="F473" s="8"/>
      <c r="G473" s="8"/>
      <c r="H473" s="8"/>
      <c r="I473" s="8"/>
      <c r="J473" s="8"/>
      <c r="K473" s="12"/>
      <c r="L473" s="95">
        <v>3.0</v>
      </c>
      <c r="M473" s="12"/>
      <c r="N473" s="12"/>
      <c r="O473" s="95">
        <v>0.01437</v>
      </c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</row>
    <row r="474">
      <c r="A474" s="12"/>
      <c r="B474" s="95">
        <f t="shared" ref="B474:C474" si="236">1/B453</f>
        <v>6.397952655</v>
      </c>
      <c r="C474" s="95">
        <f t="shared" si="236"/>
        <v>158.107225</v>
      </c>
      <c r="D474" s="8"/>
      <c r="E474" s="8"/>
      <c r="F474" s="8"/>
      <c r="G474" s="8"/>
      <c r="H474" s="8"/>
      <c r="I474" s="8"/>
      <c r="J474" s="8"/>
      <c r="K474" s="12"/>
      <c r="L474" s="95">
        <v>3.5</v>
      </c>
      <c r="M474" s="12"/>
      <c r="N474" s="12"/>
      <c r="O474" s="95">
        <v>0.01437</v>
      </c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</row>
    <row r="475">
      <c r="A475" s="12"/>
      <c r="B475" s="95">
        <f t="shared" ref="B475:C475" si="237">1/B454</f>
        <v>6.666666667</v>
      </c>
      <c r="C475" s="95">
        <f t="shared" si="237"/>
        <v>292.6208651</v>
      </c>
      <c r="D475" s="8"/>
      <c r="E475" s="8"/>
      <c r="F475" s="8"/>
      <c r="G475" s="8"/>
      <c r="H475" s="8"/>
      <c r="I475" s="8"/>
      <c r="J475" s="8"/>
      <c r="K475" s="12"/>
      <c r="L475" s="95">
        <v>4.0</v>
      </c>
      <c r="M475" s="12"/>
      <c r="N475" s="12"/>
      <c r="O475" s="95">
        <v>0.01437</v>
      </c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</row>
    <row r="476">
      <c r="A476" s="12"/>
      <c r="B476" s="95">
        <f t="shared" ref="B476:C476" si="238">1/B455</f>
        <v>10</v>
      </c>
      <c r="C476" s="95">
        <f t="shared" si="238"/>
        <v>348.974736</v>
      </c>
      <c r="D476" s="8"/>
      <c r="E476" s="8"/>
      <c r="F476" s="8"/>
      <c r="G476" s="8"/>
      <c r="H476" s="8"/>
      <c r="I476" s="8"/>
      <c r="J476" s="8"/>
      <c r="K476" s="12"/>
      <c r="L476" s="95">
        <v>4.5</v>
      </c>
      <c r="M476" s="12"/>
      <c r="N476" s="12"/>
      <c r="O476" s="95">
        <v>0.01437</v>
      </c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</row>
    <row r="477">
      <c r="A477" s="12"/>
      <c r="B477" s="95">
        <f t="shared" ref="B477:C477" si="239">1/B456</f>
        <v>12.79590531</v>
      </c>
      <c r="C477" s="95">
        <f t="shared" si="239"/>
        <v>124.7841486</v>
      </c>
      <c r="D477" s="8"/>
      <c r="E477" s="8"/>
      <c r="F477" s="8"/>
      <c r="G477" s="8"/>
      <c r="H477" s="8"/>
      <c r="I477" s="8"/>
      <c r="J477" s="8"/>
      <c r="K477" s="12"/>
      <c r="L477" s="95">
        <v>5.0</v>
      </c>
      <c r="M477" s="12"/>
      <c r="N477" s="12"/>
      <c r="O477" s="95">
        <v>0.01437</v>
      </c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</row>
    <row r="478">
      <c r="A478" s="12"/>
      <c r="B478" s="12"/>
      <c r="C478" s="8"/>
      <c r="D478" s="8"/>
      <c r="E478" s="8"/>
      <c r="F478" s="8"/>
      <c r="G478" s="8"/>
      <c r="H478" s="8"/>
      <c r="I478" s="8"/>
      <c r="J478" s="8"/>
      <c r="K478" s="12"/>
      <c r="L478" s="95">
        <v>5.5</v>
      </c>
      <c r="M478" s="12"/>
      <c r="N478" s="12"/>
      <c r="O478" s="95">
        <v>0.01437</v>
      </c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</row>
    <row r="479">
      <c r="A479" s="12"/>
      <c r="B479" s="12"/>
      <c r="C479" s="8"/>
      <c r="D479" s="8"/>
      <c r="E479" s="8"/>
      <c r="F479" s="8"/>
      <c r="G479" s="8"/>
      <c r="H479" s="8"/>
      <c r="I479" s="8"/>
      <c r="J479" s="8"/>
      <c r="K479" s="12"/>
      <c r="L479" s="95">
        <v>6.0</v>
      </c>
      <c r="M479" s="12"/>
      <c r="N479" s="12"/>
      <c r="O479" s="95">
        <v>0.01437</v>
      </c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</row>
    <row r="480">
      <c r="A480" s="12"/>
      <c r="B480" s="12"/>
      <c r="C480" s="8"/>
      <c r="D480" s="8"/>
      <c r="E480" s="8"/>
      <c r="F480" s="8"/>
      <c r="G480" s="8"/>
      <c r="H480" s="8"/>
      <c r="I480" s="8"/>
      <c r="J480" s="8"/>
      <c r="K480" s="12"/>
      <c r="L480" s="95">
        <v>6.5</v>
      </c>
      <c r="M480" s="12"/>
      <c r="N480" s="12"/>
      <c r="O480" s="95">
        <v>0.01437</v>
      </c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</row>
    <row r="481">
      <c r="A481" s="12"/>
      <c r="B481" s="12"/>
      <c r="C481" s="8"/>
      <c r="D481" s="8"/>
      <c r="E481" s="8"/>
      <c r="F481" s="8"/>
      <c r="G481" s="8"/>
      <c r="H481" s="8"/>
      <c r="I481" s="8"/>
      <c r="J481" s="8"/>
      <c r="K481" s="12"/>
      <c r="L481" s="95">
        <v>7.0</v>
      </c>
      <c r="M481" s="12"/>
      <c r="N481" s="12"/>
      <c r="O481" s="95">
        <v>0.01437</v>
      </c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</row>
    <row r="482">
      <c r="A482" s="12"/>
      <c r="B482" s="12"/>
      <c r="C482" s="8"/>
      <c r="D482" s="8"/>
      <c r="E482" s="8"/>
      <c r="F482" s="8"/>
      <c r="G482" s="8"/>
      <c r="H482" s="8"/>
      <c r="I482" s="8"/>
      <c r="J482" s="8"/>
      <c r="K482" s="12"/>
      <c r="L482" s="95">
        <v>7.5</v>
      </c>
      <c r="M482" s="12"/>
      <c r="N482" s="12"/>
      <c r="O482" s="95">
        <v>0.01437</v>
      </c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</row>
    <row r="483">
      <c r="A483" s="12"/>
      <c r="B483" s="12"/>
      <c r="C483" s="8"/>
      <c r="D483" s="8"/>
      <c r="E483" s="8"/>
      <c r="F483" s="8"/>
      <c r="G483" s="8"/>
      <c r="H483" s="8"/>
      <c r="I483" s="8"/>
      <c r="J483" s="8"/>
      <c r="K483" s="12"/>
      <c r="L483" s="95">
        <v>8.0</v>
      </c>
      <c r="M483" s="12"/>
      <c r="N483" s="12"/>
      <c r="O483" s="95">
        <v>0.01437</v>
      </c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12"/>
      <c r="L484" s="95">
        <v>8.5</v>
      </c>
      <c r="M484" s="12"/>
      <c r="N484" s="12"/>
      <c r="O484" s="95">
        <v>0.01437</v>
      </c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12"/>
      <c r="L485" s="95">
        <v>9.0</v>
      </c>
      <c r="M485" s="12"/>
      <c r="N485" s="12"/>
      <c r="O485" s="95">
        <v>0.01437</v>
      </c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12"/>
      <c r="L486" s="95">
        <v>9.5</v>
      </c>
      <c r="M486" s="12"/>
      <c r="N486" s="12"/>
      <c r="O486" s="95">
        <v>0.01437</v>
      </c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12"/>
      <c r="L487" s="95">
        <v>10.0</v>
      </c>
      <c r="M487" s="12"/>
      <c r="N487" s="12"/>
      <c r="O487" s="95">
        <v>0.01437</v>
      </c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</row>
    <row r="100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  <c r="AM1001" s="8"/>
      <c r="AN1001" s="8"/>
      <c r="AO1001" s="8"/>
      <c r="AP1001" s="8"/>
      <c r="AQ1001" s="8"/>
    </row>
    <row r="100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  <c r="AM1002" s="8"/>
      <c r="AN1002" s="8"/>
      <c r="AO1002" s="8"/>
      <c r="AP1002" s="8"/>
      <c r="AQ1002" s="8"/>
    </row>
    <row r="1003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  <c r="AM1003" s="8"/>
      <c r="AN1003" s="8"/>
      <c r="AO1003" s="8"/>
      <c r="AP1003" s="8"/>
      <c r="AQ1003" s="8"/>
    </row>
    <row r="1004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  <c r="AM1004" s="8"/>
      <c r="AN1004" s="8"/>
      <c r="AO1004" s="8"/>
      <c r="AP1004" s="8"/>
      <c r="AQ1004" s="8"/>
    </row>
    <row r="100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  <c r="AM1005" s="8"/>
      <c r="AN1005" s="8"/>
      <c r="AO1005" s="8"/>
      <c r="AP1005" s="8"/>
      <c r="AQ1005" s="8"/>
    </row>
    <row r="1006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  <c r="AM1006" s="8"/>
      <c r="AN1006" s="8"/>
      <c r="AO1006" s="8"/>
      <c r="AP1006" s="8"/>
      <c r="AQ1006" s="8"/>
    </row>
    <row r="1007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  <c r="AM1007" s="8"/>
      <c r="AN1007" s="8"/>
      <c r="AO1007" s="8"/>
      <c r="AP1007" s="8"/>
      <c r="AQ1007" s="8"/>
    </row>
    <row r="1008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  <c r="AM1008" s="8"/>
      <c r="AN1008" s="8"/>
      <c r="AO1008" s="8"/>
      <c r="AP1008" s="8"/>
      <c r="AQ1008" s="8"/>
    </row>
    <row r="1009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  <c r="AM1009" s="8"/>
      <c r="AN1009" s="8"/>
      <c r="AO1009" s="8"/>
      <c r="AP1009" s="8"/>
      <c r="AQ1009" s="8"/>
    </row>
    <row r="1010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  <c r="AM1010" s="8"/>
      <c r="AN1010" s="8"/>
      <c r="AO1010" s="8"/>
      <c r="AP1010" s="8"/>
      <c r="AQ1010" s="8"/>
    </row>
    <row r="1011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  <c r="AM1011" s="8"/>
      <c r="AN1011" s="8"/>
      <c r="AO1011" s="8"/>
      <c r="AP1011" s="8"/>
      <c r="AQ1011" s="8"/>
    </row>
    <row r="101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  <c r="AM1012" s="8"/>
      <c r="AN1012" s="8"/>
      <c r="AO1012" s="8"/>
      <c r="AP1012" s="8"/>
      <c r="AQ1012" s="8"/>
    </row>
    <row r="1013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  <c r="AM1013" s="8"/>
      <c r="AN1013" s="8"/>
      <c r="AO1013" s="8"/>
      <c r="AP1013" s="8"/>
      <c r="AQ1013" s="8"/>
    </row>
    <row r="1014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8"/>
    </row>
    <row r="101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8"/>
      <c r="AO1015" s="8"/>
      <c r="AP1015" s="8"/>
      <c r="AQ1015" s="8"/>
    </row>
    <row r="1016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8"/>
    </row>
    <row r="1017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</row>
    <row r="1018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</row>
    <row r="1019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</row>
    <row r="1020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  <c r="AN1020" s="8"/>
      <c r="AO1020" s="8"/>
      <c r="AP1020" s="8"/>
      <c r="AQ1020" s="8"/>
    </row>
    <row r="1021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  <c r="AN1021" s="8"/>
      <c r="AO1021" s="8"/>
      <c r="AP1021" s="8"/>
      <c r="AQ1021" s="8"/>
    </row>
    <row r="102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</row>
    <row r="1023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</row>
    <row r="1024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</row>
    <row r="102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  <c r="AP1025" s="8"/>
      <c r="AQ1025" s="8"/>
    </row>
    <row r="1026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</row>
    <row r="1027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  <c r="AN1027" s="8"/>
      <c r="AO1027" s="8"/>
      <c r="AP1027" s="8"/>
      <c r="AQ1027" s="8"/>
    </row>
    <row r="1028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</row>
    <row r="1029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8"/>
      <c r="AN1029" s="8"/>
      <c r="AO1029" s="8"/>
      <c r="AP1029" s="8"/>
      <c r="AQ1029" s="8"/>
    </row>
    <row r="1030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  <c r="AN1030" s="8"/>
      <c r="AO1030" s="8"/>
      <c r="AP1030" s="8"/>
      <c r="AQ1030" s="8"/>
    </row>
    <row r="1031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</row>
    <row r="103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</row>
    <row r="1033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  <c r="AN1033" s="8"/>
      <c r="AO1033" s="8"/>
      <c r="AP1033" s="8"/>
      <c r="AQ1033" s="8"/>
    </row>
    <row r="1034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</row>
    <row r="103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8"/>
      <c r="AO1035" s="8"/>
      <c r="AP1035" s="8"/>
      <c r="AQ1035" s="8"/>
    </row>
    <row r="1036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  <c r="AM1036" s="8"/>
      <c r="AN1036" s="8"/>
      <c r="AO1036" s="8"/>
      <c r="AP1036" s="8"/>
      <c r="AQ1036" s="8"/>
    </row>
    <row r="1037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  <c r="AM1037" s="8"/>
      <c r="AN1037" s="8"/>
      <c r="AO1037" s="8"/>
      <c r="AP1037" s="8"/>
      <c r="AQ1037" s="8"/>
    </row>
    <row r="1038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  <c r="AM1038" s="8"/>
      <c r="AN1038" s="8"/>
      <c r="AO1038" s="8"/>
      <c r="AP1038" s="8"/>
      <c r="AQ1038" s="8"/>
    </row>
    <row r="1039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  <c r="AM1039" s="8"/>
      <c r="AN1039" s="8"/>
      <c r="AO1039" s="8"/>
      <c r="AP1039" s="8"/>
      <c r="AQ1039" s="8"/>
    </row>
    <row r="1040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  <c r="AM1040" s="8"/>
      <c r="AN1040" s="8"/>
      <c r="AO1040" s="8"/>
      <c r="AP1040" s="8"/>
      <c r="AQ1040" s="8"/>
    </row>
    <row r="1041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  <c r="AM1041" s="8"/>
      <c r="AN1041" s="8"/>
      <c r="AO1041" s="8"/>
      <c r="AP1041" s="8"/>
      <c r="AQ1041" s="8"/>
    </row>
    <row r="104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  <c r="AM1042" s="8"/>
      <c r="AN1042" s="8"/>
      <c r="AO1042" s="8"/>
      <c r="AP1042" s="8"/>
      <c r="AQ1042" s="8"/>
    </row>
    <row r="1043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  <c r="AM1043" s="8"/>
      <c r="AN1043" s="8"/>
      <c r="AO1043" s="8"/>
      <c r="AP1043" s="8"/>
      <c r="AQ1043" s="8"/>
    </row>
    <row r="1044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  <c r="AM1044" s="8"/>
      <c r="AN1044" s="8"/>
      <c r="AO1044" s="8"/>
      <c r="AP1044" s="8"/>
      <c r="AQ1044" s="8"/>
    </row>
    <row r="104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  <c r="AM1045" s="8"/>
      <c r="AN1045" s="8"/>
      <c r="AO1045" s="8"/>
      <c r="AP1045" s="8"/>
      <c r="AQ1045" s="8"/>
    </row>
    <row r="1046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  <c r="AM1046" s="8"/>
      <c r="AN1046" s="8"/>
      <c r="AO1046" s="8"/>
      <c r="AP1046" s="8"/>
      <c r="AQ1046" s="8"/>
    </row>
    <row r="1047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  <c r="AM1047" s="8"/>
      <c r="AN1047" s="8"/>
      <c r="AO1047" s="8"/>
      <c r="AP1047" s="8"/>
      <c r="AQ1047" s="8"/>
    </row>
    <row r="1048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  <c r="AM1048" s="8"/>
      <c r="AN1048" s="8"/>
      <c r="AO1048" s="8"/>
      <c r="AP1048" s="8"/>
      <c r="AQ1048" s="8"/>
    </row>
    <row r="1049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  <c r="AM1049" s="8"/>
      <c r="AN1049" s="8"/>
      <c r="AO1049" s="8"/>
      <c r="AP1049" s="8"/>
      <c r="AQ1049" s="8"/>
    </row>
    <row r="1050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  <c r="AM1050" s="8"/>
      <c r="AN1050" s="8"/>
      <c r="AO1050" s="8"/>
      <c r="AP1050" s="8"/>
      <c r="AQ1050" s="8"/>
    </row>
    <row r="1051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  <c r="AM1051" s="8"/>
      <c r="AN1051" s="8"/>
      <c r="AO1051" s="8"/>
      <c r="AP1051" s="8"/>
      <c r="AQ1051" s="8"/>
    </row>
    <row r="105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  <c r="AM1052" s="8"/>
      <c r="AN1052" s="8"/>
      <c r="AO1052" s="8"/>
      <c r="AP1052" s="8"/>
      <c r="AQ1052" s="8"/>
    </row>
    <row r="1053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  <c r="AM1053" s="8"/>
      <c r="AN1053" s="8"/>
      <c r="AO1053" s="8"/>
      <c r="AP1053" s="8"/>
      <c r="AQ1053" s="8"/>
    </row>
    <row r="1054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  <c r="AM1054" s="8"/>
      <c r="AN1054" s="8"/>
      <c r="AO1054" s="8"/>
      <c r="AP1054" s="8"/>
      <c r="AQ1054" s="8"/>
    </row>
    <row r="105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  <c r="AM1055" s="8"/>
      <c r="AN1055" s="8"/>
      <c r="AO1055" s="8"/>
      <c r="AP1055" s="8"/>
      <c r="AQ1055" s="8"/>
    </row>
    <row r="1056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  <c r="AM1056" s="8"/>
      <c r="AN1056" s="8"/>
      <c r="AO1056" s="8"/>
      <c r="AP1056" s="8"/>
      <c r="AQ1056" s="8"/>
    </row>
    <row r="1057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  <c r="AM1057" s="8"/>
      <c r="AN1057" s="8"/>
      <c r="AO1057" s="8"/>
      <c r="AP1057" s="8"/>
      <c r="AQ1057" s="8"/>
    </row>
    <row r="1058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  <c r="AM1058" s="8"/>
      <c r="AN1058" s="8"/>
      <c r="AO1058" s="8"/>
      <c r="AP1058" s="8"/>
      <c r="AQ1058" s="8"/>
    </row>
    <row r="1059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  <c r="AM1059" s="8"/>
      <c r="AN1059" s="8"/>
      <c r="AO1059" s="8"/>
      <c r="AP1059" s="8"/>
      <c r="AQ1059" s="8"/>
    </row>
    <row r="1060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  <c r="AM1060" s="8"/>
      <c r="AN1060" s="8"/>
      <c r="AO1060" s="8"/>
      <c r="AP1060" s="8"/>
      <c r="AQ1060" s="8"/>
    </row>
    <row r="1061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  <c r="AM1061" s="8"/>
      <c r="AN1061" s="8"/>
      <c r="AO1061" s="8"/>
      <c r="AP1061" s="8"/>
      <c r="AQ1061" s="8"/>
    </row>
    <row r="106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  <c r="AM1062" s="8"/>
      <c r="AN1062" s="8"/>
      <c r="AO1062" s="8"/>
      <c r="AP1062" s="8"/>
      <c r="AQ1062" s="8"/>
    </row>
    <row r="1063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8"/>
      <c r="AM1063" s="8"/>
      <c r="AN1063" s="8"/>
      <c r="AO1063" s="8"/>
      <c r="AP1063" s="8"/>
      <c r="AQ1063" s="8"/>
    </row>
    <row r="1064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  <c r="AM1064" s="8"/>
      <c r="AN1064" s="8"/>
      <c r="AO1064" s="8"/>
      <c r="AP1064" s="8"/>
      <c r="AQ1064" s="8"/>
    </row>
    <row r="106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8"/>
      <c r="AM1065" s="8"/>
      <c r="AN1065" s="8"/>
      <c r="AO1065" s="8"/>
      <c r="AP1065" s="8"/>
      <c r="AQ1065" s="8"/>
    </row>
    <row r="1066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  <c r="AM1066" s="8"/>
      <c r="AN1066" s="8"/>
      <c r="AO1066" s="8"/>
      <c r="AP1066" s="8"/>
      <c r="AQ1066" s="8"/>
    </row>
    <row r="1067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  <c r="AK1067" s="8"/>
      <c r="AL1067" s="8"/>
      <c r="AM1067" s="8"/>
      <c r="AN1067" s="8"/>
      <c r="AO1067" s="8"/>
      <c r="AP1067" s="8"/>
      <c r="AQ1067" s="8"/>
    </row>
    <row r="1068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8"/>
      <c r="AM1068" s="8"/>
      <c r="AN1068" s="8"/>
      <c r="AO1068" s="8"/>
      <c r="AP1068" s="8"/>
      <c r="AQ1068" s="8"/>
    </row>
    <row r="1069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8"/>
      <c r="AM1069" s="8"/>
      <c r="AN1069" s="8"/>
      <c r="AO1069" s="8"/>
      <c r="AP1069" s="8"/>
      <c r="AQ1069" s="8"/>
    </row>
    <row r="1070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  <c r="AM1070" s="8"/>
      <c r="AN1070" s="8"/>
      <c r="AO1070" s="8"/>
      <c r="AP1070" s="8"/>
      <c r="AQ1070" s="8"/>
    </row>
    <row r="1071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8"/>
      <c r="AM1071" s="8"/>
      <c r="AN1071" s="8"/>
      <c r="AO1071" s="8"/>
      <c r="AP1071" s="8"/>
      <c r="AQ1071" s="8"/>
    </row>
    <row r="1072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  <c r="AK1072" s="8"/>
      <c r="AL1072" s="8"/>
      <c r="AM1072" s="8"/>
      <c r="AN1072" s="8"/>
      <c r="AO1072" s="8"/>
      <c r="AP1072" s="8"/>
      <c r="AQ1072" s="8"/>
    </row>
    <row r="1073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8"/>
      <c r="AM1073" s="8"/>
      <c r="AN1073" s="8"/>
      <c r="AO1073" s="8"/>
      <c r="AP1073" s="8"/>
      <c r="AQ1073" s="8"/>
    </row>
    <row r="1074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8"/>
      <c r="AL1074" s="8"/>
      <c r="AM1074" s="8"/>
      <c r="AN1074" s="8"/>
      <c r="AO1074" s="8"/>
      <c r="AP1074" s="8"/>
      <c r="AQ1074" s="8"/>
    </row>
    <row r="107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8"/>
      <c r="AL1075" s="8"/>
      <c r="AM1075" s="8"/>
      <c r="AN1075" s="8"/>
      <c r="AO1075" s="8"/>
      <c r="AP1075" s="8"/>
      <c r="AQ1075" s="8"/>
    </row>
    <row r="1076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8"/>
      <c r="AM1076" s="8"/>
      <c r="AN1076" s="8"/>
      <c r="AO1076" s="8"/>
      <c r="AP1076" s="8"/>
      <c r="AQ1076" s="8"/>
    </row>
    <row r="1077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8"/>
      <c r="AM1077" s="8"/>
      <c r="AN1077" s="8"/>
      <c r="AO1077" s="8"/>
      <c r="AP1077" s="8"/>
      <c r="AQ1077" s="8"/>
    </row>
    <row r="1078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  <c r="AK1078" s="8"/>
      <c r="AL1078" s="8"/>
      <c r="AM1078" s="8"/>
      <c r="AN1078" s="8"/>
      <c r="AO1078" s="8"/>
      <c r="AP1078" s="8"/>
      <c r="AQ1078" s="8"/>
    </row>
    <row r="1079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  <c r="AK1079" s="8"/>
      <c r="AL1079" s="8"/>
      <c r="AM1079" s="8"/>
      <c r="AN1079" s="8"/>
      <c r="AO1079" s="8"/>
      <c r="AP1079" s="8"/>
      <c r="AQ1079" s="8"/>
    </row>
    <row r="1080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8"/>
      <c r="AL1080" s="8"/>
      <c r="AM1080" s="8"/>
      <c r="AN1080" s="8"/>
      <c r="AO1080" s="8"/>
      <c r="AP1080" s="8"/>
      <c r="AQ1080" s="8"/>
    </row>
    <row r="1081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  <c r="AK1081" s="8"/>
      <c r="AL1081" s="8"/>
      <c r="AM1081" s="8"/>
      <c r="AN1081" s="8"/>
      <c r="AO1081" s="8"/>
      <c r="AP1081" s="8"/>
      <c r="AQ1081" s="8"/>
    </row>
    <row r="1082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  <c r="AM1082" s="8"/>
      <c r="AN1082" s="8"/>
      <c r="AO1082" s="8"/>
      <c r="AP1082" s="8"/>
      <c r="AQ1082" s="8"/>
    </row>
    <row r="1083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  <c r="AM1083" s="8"/>
      <c r="AN1083" s="8"/>
      <c r="AO1083" s="8"/>
      <c r="AP1083" s="8"/>
      <c r="AQ1083" s="8"/>
    </row>
    <row r="1084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  <c r="AM1084" s="8"/>
      <c r="AN1084" s="8"/>
      <c r="AO1084" s="8"/>
      <c r="AP1084" s="8"/>
      <c r="AQ1084" s="8"/>
    </row>
    <row r="108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  <c r="AM1085" s="8"/>
      <c r="AN1085" s="8"/>
      <c r="AO1085" s="8"/>
      <c r="AP1085" s="8"/>
      <c r="AQ1085" s="8"/>
    </row>
    <row r="1086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  <c r="AM1086" s="8"/>
      <c r="AN1086" s="8"/>
      <c r="AO1086" s="8"/>
      <c r="AP1086" s="8"/>
      <c r="AQ1086" s="8"/>
    </row>
    <row r="1087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  <c r="AM1087" s="8"/>
      <c r="AN1087" s="8"/>
      <c r="AO1087" s="8"/>
      <c r="AP1087" s="8"/>
      <c r="AQ1087" s="8"/>
    </row>
    <row r="1088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  <c r="AM1088" s="8"/>
      <c r="AN1088" s="8"/>
      <c r="AO1088" s="8"/>
      <c r="AP1088" s="8"/>
      <c r="AQ1088" s="8"/>
    </row>
    <row r="1089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/>
      <c r="AM1089" s="8"/>
      <c r="AN1089" s="8"/>
      <c r="AO1089" s="8"/>
      <c r="AP1089" s="8"/>
      <c r="AQ1089" s="8"/>
    </row>
    <row r="1090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8"/>
      <c r="AM1090" s="8"/>
      <c r="AN1090" s="8"/>
      <c r="AO1090" s="8"/>
      <c r="AP1090" s="8"/>
      <c r="AQ1090" s="8"/>
    </row>
    <row r="1091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  <c r="AK1091" s="8"/>
      <c r="AL1091" s="8"/>
      <c r="AM1091" s="8"/>
      <c r="AN1091" s="8"/>
      <c r="AO1091" s="8"/>
      <c r="AP1091" s="8"/>
      <c r="AQ1091" s="8"/>
    </row>
    <row r="109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8"/>
      <c r="AL1092" s="8"/>
      <c r="AM1092" s="8"/>
      <c r="AN1092" s="8"/>
      <c r="AO1092" s="8"/>
      <c r="AP1092" s="8"/>
      <c r="AQ1092" s="8"/>
    </row>
    <row r="1093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  <c r="AM1093" s="8"/>
      <c r="AN1093" s="8"/>
      <c r="AO1093" s="8"/>
      <c r="AP1093" s="8"/>
      <c r="AQ1093" s="8"/>
    </row>
    <row r="1094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8"/>
      <c r="AL1094" s="8"/>
      <c r="AM1094" s="8"/>
      <c r="AN1094" s="8"/>
      <c r="AO1094" s="8"/>
      <c r="AP1094" s="8"/>
      <c r="AQ1094" s="8"/>
    </row>
    <row r="109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8"/>
      <c r="AL1095" s="8"/>
      <c r="AM1095" s="8"/>
      <c r="AN1095" s="8"/>
      <c r="AO1095" s="8"/>
      <c r="AP1095" s="8"/>
      <c r="AQ1095" s="8"/>
    </row>
    <row r="1096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  <c r="AM1096" s="8"/>
      <c r="AN1096" s="8"/>
      <c r="AO1096" s="8"/>
      <c r="AP1096" s="8"/>
      <c r="AQ1096" s="8"/>
    </row>
    <row r="1097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  <c r="AM1097" s="8"/>
      <c r="AN1097" s="8"/>
      <c r="AO1097" s="8"/>
      <c r="AP1097" s="8"/>
      <c r="AQ1097" s="8"/>
    </row>
    <row r="1098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8"/>
      <c r="AM1098" s="8"/>
      <c r="AN1098" s="8"/>
      <c r="AO1098" s="8"/>
      <c r="AP1098" s="8"/>
      <c r="AQ1098" s="8"/>
    </row>
    <row r="1099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8"/>
      <c r="AL1099" s="8"/>
      <c r="AM1099" s="8"/>
      <c r="AN1099" s="8"/>
      <c r="AO1099" s="8"/>
      <c r="AP1099" s="8"/>
      <c r="AQ1099" s="8"/>
    </row>
    <row r="1100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8"/>
      <c r="AG1100" s="8"/>
      <c r="AH1100" s="8"/>
      <c r="AI1100" s="8"/>
      <c r="AJ1100" s="8"/>
      <c r="AK1100" s="8"/>
      <c r="AL1100" s="8"/>
      <c r="AM1100" s="8"/>
      <c r="AN1100" s="8"/>
      <c r="AO1100" s="8"/>
      <c r="AP1100" s="8"/>
      <c r="AQ1100" s="8"/>
    </row>
    <row r="1101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8"/>
      <c r="AI1101" s="8"/>
      <c r="AJ1101" s="8"/>
      <c r="AK1101" s="8"/>
      <c r="AL1101" s="8"/>
      <c r="AM1101" s="8"/>
      <c r="AN1101" s="8"/>
      <c r="AO1101" s="8"/>
      <c r="AP1101" s="8"/>
      <c r="AQ1101" s="8"/>
    </row>
    <row r="1102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8"/>
      <c r="AL1102" s="8"/>
      <c r="AM1102" s="8"/>
      <c r="AN1102" s="8"/>
      <c r="AO1102" s="8"/>
      <c r="AP1102" s="8"/>
      <c r="AQ1102" s="8"/>
    </row>
    <row r="1103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  <c r="AM1103" s="8"/>
      <c r="AN1103" s="8"/>
      <c r="AO1103" s="8"/>
      <c r="AP1103" s="8"/>
      <c r="AQ1103" s="8"/>
    </row>
    <row r="1104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8"/>
      <c r="AD1104" s="8"/>
      <c r="AE1104" s="8"/>
      <c r="AF1104" s="8"/>
      <c r="AG1104" s="8"/>
      <c r="AH1104" s="8"/>
      <c r="AI1104" s="8"/>
      <c r="AJ1104" s="8"/>
      <c r="AK1104" s="8"/>
      <c r="AL1104" s="8"/>
      <c r="AM1104" s="8"/>
      <c r="AN1104" s="8"/>
      <c r="AO1104" s="8"/>
      <c r="AP1104" s="8"/>
      <c r="AQ1104" s="8"/>
    </row>
    <row r="110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/>
      <c r="AI1105" s="8"/>
      <c r="AJ1105" s="8"/>
      <c r="AK1105" s="8"/>
      <c r="AL1105" s="8"/>
      <c r="AM1105" s="8"/>
      <c r="AN1105" s="8"/>
      <c r="AO1105" s="8"/>
      <c r="AP1105" s="8"/>
      <c r="AQ1105" s="8"/>
    </row>
    <row r="1106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8"/>
      <c r="AM1106" s="8"/>
      <c r="AN1106" s="8"/>
      <c r="AO1106" s="8"/>
      <c r="AP1106" s="8"/>
      <c r="AQ1106" s="8"/>
    </row>
    <row r="1107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  <c r="AM1107" s="8"/>
      <c r="AN1107" s="8"/>
      <c r="AO1107" s="8"/>
      <c r="AP1107" s="8"/>
      <c r="AQ1107" s="8"/>
    </row>
    <row r="1108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8"/>
      <c r="AG1108" s="8"/>
      <c r="AH1108" s="8"/>
      <c r="AI1108" s="8"/>
      <c r="AJ1108" s="8"/>
      <c r="AK1108" s="8"/>
      <c r="AL1108" s="8"/>
      <c r="AM1108" s="8"/>
      <c r="AN1108" s="8"/>
      <c r="AO1108" s="8"/>
      <c r="AP1108" s="8"/>
      <c r="AQ1108" s="8"/>
    </row>
    <row r="1109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  <c r="AM1109" s="8"/>
      <c r="AN1109" s="8"/>
      <c r="AO1109" s="8"/>
      <c r="AP1109" s="8"/>
      <c r="AQ1109" s="8"/>
    </row>
    <row r="1110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  <c r="AJ1110" s="8"/>
      <c r="AK1110" s="8"/>
      <c r="AL1110" s="8"/>
      <c r="AM1110" s="8"/>
      <c r="AN1110" s="8"/>
      <c r="AO1110" s="8"/>
      <c r="AP1110" s="8"/>
      <c r="AQ1110" s="8"/>
    </row>
    <row r="1111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8"/>
      <c r="AI1111" s="8"/>
      <c r="AJ1111" s="8"/>
      <c r="AK1111" s="8"/>
      <c r="AL1111" s="8"/>
      <c r="AM1111" s="8"/>
      <c r="AN1111" s="8"/>
      <c r="AO1111" s="8"/>
      <c r="AP1111" s="8"/>
      <c r="AQ1111" s="8"/>
    </row>
    <row r="1112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  <c r="AE1112" s="8"/>
      <c r="AF1112" s="8"/>
      <c r="AG1112" s="8"/>
      <c r="AH1112" s="8"/>
      <c r="AI1112" s="8"/>
      <c r="AJ1112" s="8"/>
      <c r="AK1112" s="8"/>
      <c r="AL1112" s="8"/>
      <c r="AM1112" s="8"/>
      <c r="AN1112" s="8"/>
      <c r="AO1112" s="8"/>
      <c r="AP1112" s="8"/>
      <c r="AQ1112" s="8"/>
    </row>
    <row r="1113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  <c r="AI1113" s="8"/>
      <c r="AJ1113" s="8"/>
      <c r="AK1113" s="8"/>
      <c r="AL1113" s="8"/>
      <c r="AM1113" s="8"/>
      <c r="AN1113" s="8"/>
      <c r="AO1113" s="8"/>
      <c r="AP1113" s="8"/>
      <c r="AQ1113" s="8"/>
    </row>
    <row r="1114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8"/>
      <c r="AD1114" s="8"/>
      <c r="AE1114" s="8"/>
      <c r="AF1114" s="8"/>
      <c r="AG1114" s="8"/>
      <c r="AH1114" s="8"/>
      <c r="AI1114" s="8"/>
      <c r="AJ1114" s="8"/>
      <c r="AK1114" s="8"/>
      <c r="AL1114" s="8"/>
      <c r="AM1114" s="8"/>
      <c r="AN1114" s="8"/>
      <c r="AO1114" s="8"/>
      <c r="AP1114" s="8"/>
      <c r="AQ1114" s="8"/>
    </row>
    <row r="111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  <c r="AE1115" s="8"/>
      <c r="AF1115" s="8"/>
      <c r="AG1115" s="8"/>
      <c r="AH1115" s="8"/>
      <c r="AI1115" s="8"/>
      <c r="AJ1115" s="8"/>
      <c r="AK1115" s="8"/>
      <c r="AL1115" s="8"/>
      <c r="AM1115" s="8"/>
      <c r="AN1115" s="8"/>
      <c r="AO1115" s="8"/>
      <c r="AP1115" s="8"/>
      <c r="AQ1115" s="8"/>
    </row>
    <row r="1116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/>
      <c r="AC1116" s="8"/>
      <c r="AD1116" s="8"/>
      <c r="AE1116" s="8"/>
      <c r="AF1116" s="8"/>
      <c r="AG1116" s="8"/>
      <c r="AH1116" s="8"/>
      <c r="AI1116" s="8"/>
      <c r="AJ1116" s="8"/>
      <c r="AK1116" s="8"/>
      <c r="AL1116" s="8"/>
      <c r="AM1116" s="8"/>
      <c r="AN1116" s="8"/>
      <c r="AO1116" s="8"/>
      <c r="AP1116" s="8"/>
      <c r="AQ1116" s="8"/>
    </row>
    <row r="1117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  <c r="AG1117" s="8"/>
      <c r="AH1117" s="8"/>
      <c r="AI1117" s="8"/>
      <c r="AJ1117" s="8"/>
      <c r="AK1117" s="8"/>
      <c r="AL1117" s="8"/>
      <c r="AM1117" s="8"/>
      <c r="AN1117" s="8"/>
      <c r="AO1117" s="8"/>
      <c r="AP1117" s="8"/>
      <c r="AQ1117" s="8"/>
    </row>
    <row r="1118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8"/>
      <c r="AD1118" s="8"/>
      <c r="AE1118" s="8"/>
      <c r="AF1118" s="8"/>
      <c r="AG1118" s="8"/>
      <c r="AH1118" s="8"/>
      <c r="AI1118" s="8"/>
      <c r="AJ1118" s="8"/>
      <c r="AK1118" s="8"/>
      <c r="AL1118" s="8"/>
      <c r="AM1118" s="8"/>
      <c r="AN1118" s="8"/>
      <c r="AO1118" s="8"/>
      <c r="AP1118" s="8"/>
      <c r="AQ1118" s="8"/>
    </row>
    <row r="1119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8"/>
      <c r="AD1119" s="8"/>
      <c r="AE1119" s="8"/>
      <c r="AF1119" s="8"/>
      <c r="AG1119" s="8"/>
      <c r="AH1119" s="8"/>
      <c r="AI1119" s="8"/>
      <c r="AJ1119" s="8"/>
      <c r="AK1119" s="8"/>
      <c r="AL1119" s="8"/>
      <c r="AM1119" s="8"/>
      <c r="AN1119" s="8"/>
      <c r="AO1119" s="8"/>
      <c r="AP1119" s="8"/>
      <c r="AQ1119" s="8"/>
    </row>
    <row r="1120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8"/>
      <c r="AD1120" s="8"/>
      <c r="AE1120" s="8"/>
      <c r="AF1120" s="8"/>
      <c r="AG1120" s="8"/>
      <c r="AH1120" s="8"/>
      <c r="AI1120" s="8"/>
      <c r="AJ1120" s="8"/>
      <c r="AK1120" s="8"/>
      <c r="AL1120" s="8"/>
      <c r="AM1120" s="8"/>
      <c r="AN1120" s="8"/>
      <c r="AO1120" s="8"/>
      <c r="AP1120" s="8"/>
      <c r="AQ1120" s="8"/>
    </row>
    <row r="1121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/>
      <c r="AF1121" s="8"/>
      <c r="AG1121" s="8"/>
      <c r="AH1121" s="8"/>
      <c r="AI1121" s="8"/>
      <c r="AJ1121" s="8"/>
      <c r="AK1121" s="8"/>
      <c r="AL1121" s="8"/>
      <c r="AM1121" s="8"/>
      <c r="AN1121" s="8"/>
      <c r="AO1121" s="8"/>
      <c r="AP1121" s="8"/>
      <c r="AQ1121" s="8"/>
    </row>
    <row r="112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8"/>
      <c r="AD1122" s="8"/>
      <c r="AE1122" s="8"/>
      <c r="AF1122" s="8"/>
      <c r="AG1122" s="8"/>
      <c r="AH1122" s="8"/>
      <c r="AI1122" s="8"/>
      <c r="AJ1122" s="8"/>
      <c r="AK1122" s="8"/>
      <c r="AL1122" s="8"/>
      <c r="AM1122" s="8"/>
      <c r="AN1122" s="8"/>
      <c r="AO1122" s="8"/>
      <c r="AP1122" s="8"/>
      <c r="AQ1122" s="8"/>
    </row>
    <row r="1123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8"/>
      <c r="AD1123" s="8"/>
      <c r="AE1123" s="8"/>
      <c r="AF1123" s="8"/>
      <c r="AG1123" s="8"/>
      <c r="AH1123" s="8"/>
      <c r="AI1123" s="8"/>
      <c r="AJ1123" s="8"/>
      <c r="AK1123" s="8"/>
      <c r="AL1123" s="8"/>
      <c r="AM1123" s="8"/>
      <c r="AN1123" s="8"/>
      <c r="AO1123" s="8"/>
      <c r="AP1123" s="8"/>
      <c r="AQ1123" s="8"/>
    </row>
    <row r="1124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8"/>
      <c r="AD1124" s="8"/>
      <c r="AE1124" s="8"/>
      <c r="AF1124" s="8"/>
      <c r="AG1124" s="8"/>
      <c r="AH1124" s="8"/>
      <c r="AI1124" s="8"/>
      <c r="AJ1124" s="8"/>
      <c r="AK1124" s="8"/>
      <c r="AL1124" s="8"/>
      <c r="AM1124" s="8"/>
      <c r="AN1124" s="8"/>
      <c r="AO1124" s="8"/>
      <c r="AP1124" s="8"/>
      <c r="AQ1124" s="8"/>
    </row>
    <row r="1125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8"/>
      <c r="AG1125" s="8"/>
      <c r="AH1125" s="8"/>
      <c r="AI1125" s="8"/>
      <c r="AJ1125" s="8"/>
      <c r="AK1125" s="8"/>
      <c r="AL1125" s="8"/>
      <c r="AM1125" s="8"/>
      <c r="AN1125" s="8"/>
      <c r="AO1125" s="8"/>
      <c r="AP1125" s="8"/>
      <c r="AQ1125" s="8"/>
    </row>
    <row r="1126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8"/>
      <c r="AD1126" s="8"/>
      <c r="AE1126" s="8"/>
      <c r="AF1126" s="8"/>
      <c r="AG1126" s="8"/>
      <c r="AH1126" s="8"/>
      <c r="AI1126" s="8"/>
      <c r="AJ1126" s="8"/>
      <c r="AK1126" s="8"/>
      <c r="AL1126" s="8"/>
      <c r="AM1126" s="8"/>
      <c r="AN1126" s="8"/>
      <c r="AO1126" s="8"/>
      <c r="AP1126" s="8"/>
      <c r="AQ1126" s="8"/>
    </row>
    <row r="1127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  <c r="AE1127" s="8"/>
      <c r="AF1127" s="8"/>
      <c r="AG1127" s="8"/>
      <c r="AH1127" s="8"/>
      <c r="AI1127" s="8"/>
      <c r="AJ1127" s="8"/>
      <c r="AK1127" s="8"/>
      <c r="AL1127" s="8"/>
      <c r="AM1127" s="8"/>
      <c r="AN1127" s="8"/>
      <c r="AO1127" s="8"/>
      <c r="AP1127" s="8"/>
      <c r="AQ1127" s="8"/>
    </row>
    <row r="1128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/>
      <c r="AC1128" s="8"/>
      <c r="AD1128" s="8"/>
      <c r="AE1128" s="8"/>
      <c r="AF1128" s="8"/>
      <c r="AG1128" s="8"/>
      <c r="AH1128" s="8"/>
      <c r="AI1128" s="8"/>
      <c r="AJ1128" s="8"/>
      <c r="AK1128" s="8"/>
      <c r="AL1128" s="8"/>
      <c r="AM1128" s="8"/>
      <c r="AN1128" s="8"/>
      <c r="AO1128" s="8"/>
      <c r="AP1128" s="8"/>
      <c r="AQ1128" s="8"/>
    </row>
    <row r="1129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  <c r="AE1129" s="8"/>
      <c r="AF1129" s="8"/>
      <c r="AG1129" s="8"/>
      <c r="AH1129" s="8"/>
      <c r="AI1129" s="8"/>
      <c r="AJ1129" s="8"/>
      <c r="AK1129" s="8"/>
      <c r="AL1129" s="8"/>
      <c r="AM1129" s="8"/>
      <c r="AN1129" s="8"/>
      <c r="AO1129" s="8"/>
      <c r="AP1129" s="8"/>
      <c r="AQ1129" s="8"/>
    </row>
    <row r="1130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  <c r="AB1130" s="8"/>
      <c r="AC1130" s="8"/>
      <c r="AD1130" s="8"/>
      <c r="AE1130" s="8"/>
      <c r="AF1130" s="8"/>
      <c r="AG1130" s="8"/>
      <c r="AH1130" s="8"/>
      <c r="AI1130" s="8"/>
      <c r="AJ1130" s="8"/>
      <c r="AK1130" s="8"/>
      <c r="AL1130" s="8"/>
      <c r="AM1130" s="8"/>
      <c r="AN1130" s="8"/>
      <c r="AO1130" s="8"/>
      <c r="AP1130" s="8"/>
      <c r="AQ1130" s="8"/>
    </row>
    <row r="1131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/>
      <c r="AC1131" s="8"/>
      <c r="AD1131" s="8"/>
      <c r="AE1131" s="8"/>
      <c r="AF1131" s="8"/>
      <c r="AG1131" s="8"/>
      <c r="AH1131" s="8"/>
      <c r="AI1131" s="8"/>
      <c r="AJ1131" s="8"/>
      <c r="AK1131" s="8"/>
      <c r="AL1131" s="8"/>
      <c r="AM1131" s="8"/>
      <c r="AN1131" s="8"/>
      <c r="AO1131" s="8"/>
      <c r="AP1131" s="8"/>
      <c r="AQ1131" s="8"/>
    </row>
    <row r="1132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  <c r="AB1132" s="8"/>
      <c r="AC1132" s="8"/>
      <c r="AD1132" s="8"/>
      <c r="AE1132" s="8"/>
      <c r="AF1132" s="8"/>
      <c r="AG1132" s="8"/>
      <c r="AH1132" s="8"/>
      <c r="AI1132" s="8"/>
      <c r="AJ1132" s="8"/>
      <c r="AK1132" s="8"/>
      <c r="AL1132" s="8"/>
      <c r="AM1132" s="8"/>
      <c r="AN1132" s="8"/>
      <c r="AO1132" s="8"/>
      <c r="AP1132" s="8"/>
      <c r="AQ1132" s="8"/>
    </row>
    <row r="1133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/>
      <c r="AC1133" s="8"/>
      <c r="AD1133" s="8"/>
      <c r="AE1133" s="8"/>
      <c r="AF1133" s="8"/>
      <c r="AG1133" s="8"/>
      <c r="AH1133" s="8"/>
      <c r="AI1133" s="8"/>
      <c r="AJ1133" s="8"/>
      <c r="AK1133" s="8"/>
      <c r="AL1133" s="8"/>
      <c r="AM1133" s="8"/>
      <c r="AN1133" s="8"/>
      <c r="AO1133" s="8"/>
      <c r="AP1133" s="8"/>
      <c r="AQ1133" s="8"/>
    </row>
    <row r="1134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  <c r="AC1134" s="8"/>
      <c r="AD1134" s="8"/>
      <c r="AE1134" s="8"/>
      <c r="AF1134" s="8"/>
      <c r="AG1134" s="8"/>
      <c r="AH1134" s="8"/>
      <c r="AI1134" s="8"/>
      <c r="AJ1134" s="8"/>
      <c r="AK1134" s="8"/>
      <c r="AL1134" s="8"/>
      <c r="AM1134" s="8"/>
      <c r="AN1134" s="8"/>
      <c r="AO1134" s="8"/>
      <c r="AP1134" s="8"/>
      <c r="AQ1134" s="8"/>
    </row>
    <row r="1135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  <c r="AE1135" s="8"/>
      <c r="AF1135" s="8"/>
      <c r="AG1135" s="8"/>
      <c r="AH1135" s="8"/>
      <c r="AI1135" s="8"/>
      <c r="AJ1135" s="8"/>
      <c r="AK1135" s="8"/>
      <c r="AL1135" s="8"/>
      <c r="AM1135" s="8"/>
      <c r="AN1135" s="8"/>
      <c r="AO1135" s="8"/>
      <c r="AP1135" s="8"/>
      <c r="AQ1135" s="8"/>
    </row>
    <row r="1136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  <c r="AE1136" s="8"/>
      <c r="AF1136" s="8"/>
      <c r="AG1136" s="8"/>
      <c r="AH1136" s="8"/>
      <c r="AI1136" s="8"/>
      <c r="AJ1136" s="8"/>
      <c r="AK1136" s="8"/>
      <c r="AL1136" s="8"/>
      <c r="AM1136" s="8"/>
      <c r="AN1136" s="8"/>
      <c r="AO1136" s="8"/>
      <c r="AP1136" s="8"/>
      <c r="AQ1136" s="8"/>
    </row>
    <row r="1137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  <c r="AE1137" s="8"/>
      <c r="AF1137" s="8"/>
      <c r="AG1137" s="8"/>
      <c r="AH1137" s="8"/>
      <c r="AI1137" s="8"/>
      <c r="AJ1137" s="8"/>
      <c r="AK1137" s="8"/>
      <c r="AL1137" s="8"/>
      <c r="AM1137" s="8"/>
      <c r="AN1137" s="8"/>
      <c r="AO1137" s="8"/>
      <c r="AP1137" s="8"/>
      <c r="AQ1137" s="8"/>
    </row>
    <row r="1138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  <c r="AB1138" s="8"/>
      <c r="AC1138" s="8"/>
      <c r="AD1138" s="8"/>
      <c r="AE1138" s="8"/>
      <c r="AF1138" s="8"/>
      <c r="AG1138" s="8"/>
      <c r="AH1138" s="8"/>
      <c r="AI1138" s="8"/>
      <c r="AJ1138" s="8"/>
      <c r="AK1138" s="8"/>
      <c r="AL1138" s="8"/>
      <c r="AM1138" s="8"/>
      <c r="AN1138" s="8"/>
      <c r="AO1138" s="8"/>
      <c r="AP1138" s="8"/>
      <c r="AQ1138" s="8"/>
    </row>
    <row r="1139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8"/>
      <c r="AG1139" s="8"/>
      <c r="AH1139" s="8"/>
      <c r="AI1139" s="8"/>
      <c r="AJ1139" s="8"/>
      <c r="AK1139" s="8"/>
      <c r="AL1139" s="8"/>
      <c r="AM1139" s="8"/>
      <c r="AN1139" s="8"/>
      <c r="AO1139" s="8"/>
      <c r="AP1139" s="8"/>
      <c r="AQ1139" s="8"/>
    </row>
    <row r="1140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8"/>
      <c r="AD1140" s="8"/>
      <c r="AE1140" s="8"/>
      <c r="AF1140" s="8"/>
      <c r="AG1140" s="8"/>
      <c r="AH1140" s="8"/>
      <c r="AI1140" s="8"/>
      <c r="AJ1140" s="8"/>
      <c r="AK1140" s="8"/>
      <c r="AL1140" s="8"/>
      <c r="AM1140" s="8"/>
      <c r="AN1140" s="8"/>
      <c r="AO1140" s="8"/>
      <c r="AP1140" s="8"/>
      <c r="AQ1140" s="8"/>
    </row>
    <row r="1141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8"/>
      <c r="AD1141" s="8"/>
      <c r="AE1141" s="8"/>
      <c r="AF1141" s="8"/>
      <c r="AG1141" s="8"/>
      <c r="AH1141" s="8"/>
      <c r="AI1141" s="8"/>
      <c r="AJ1141" s="8"/>
      <c r="AK1141" s="8"/>
      <c r="AL1141" s="8"/>
      <c r="AM1141" s="8"/>
      <c r="AN1141" s="8"/>
      <c r="AO1141" s="8"/>
      <c r="AP1141" s="8"/>
      <c r="AQ1141" s="8"/>
    </row>
    <row r="1142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8"/>
      <c r="AD1142" s="8"/>
      <c r="AE1142" s="8"/>
      <c r="AF1142" s="8"/>
      <c r="AG1142" s="8"/>
      <c r="AH1142" s="8"/>
      <c r="AI1142" s="8"/>
      <c r="AJ1142" s="8"/>
      <c r="AK1142" s="8"/>
      <c r="AL1142" s="8"/>
      <c r="AM1142" s="8"/>
      <c r="AN1142" s="8"/>
      <c r="AO1142" s="8"/>
      <c r="AP1142" s="8"/>
      <c r="AQ1142" s="8"/>
    </row>
    <row r="1143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/>
      <c r="AF1143" s="8"/>
      <c r="AG1143" s="8"/>
      <c r="AH1143" s="8"/>
      <c r="AI1143" s="8"/>
      <c r="AJ1143" s="8"/>
      <c r="AK1143" s="8"/>
      <c r="AL1143" s="8"/>
      <c r="AM1143" s="8"/>
      <c r="AN1143" s="8"/>
      <c r="AO1143" s="8"/>
      <c r="AP1143" s="8"/>
      <c r="AQ1143" s="8"/>
    </row>
    <row r="1144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8"/>
      <c r="AD1144" s="8"/>
      <c r="AE1144" s="8"/>
      <c r="AF1144" s="8"/>
      <c r="AG1144" s="8"/>
      <c r="AH1144" s="8"/>
      <c r="AI1144" s="8"/>
      <c r="AJ1144" s="8"/>
      <c r="AK1144" s="8"/>
      <c r="AL1144" s="8"/>
      <c r="AM1144" s="8"/>
      <c r="AN1144" s="8"/>
      <c r="AO1144" s="8"/>
      <c r="AP1144" s="8"/>
      <c r="AQ1144" s="8"/>
    </row>
    <row r="1145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8"/>
      <c r="AG1145" s="8"/>
      <c r="AH1145" s="8"/>
      <c r="AI1145" s="8"/>
      <c r="AJ1145" s="8"/>
      <c r="AK1145" s="8"/>
      <c r="AL1145" s="8"/>
      <c r="AM1145" s="8"/>
      <c r="AN1145" s="8"/>
      <c r="AO1145" s="8"/>
      <c r="AP1145" s="8"/>
      <c r="AQ1145" s="8"/>
    </row>
    <row r="1146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8"/>
      <c r="AD1146" s="8"/>
      <c r="AE1146" s="8"/>
      <c r="AF1146" s="8"/>
      <c r="AG1146" s="8"/>
      <c r="AH1146" s="8"/>
      <c r="AI1146" s="8"/>
      <c r="AJ1146" s="8"/>
      <c r="AK1146" s="8"/>
      <c r="AL1146" s="8"/>
      <c r="AM1146" s="8"/>
      <c r="AN1146" s="8"/>
      <c r="AO1146" s="8"/>
      <c r="AP1146" s="8"/>
      <c r="AQ1146" s="8"/>
    </row>
    <row r="1147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/>
      <c r="AF1147" s="8"/>
      <c r="AG1147" s="8"/>
      <c r="AH1147" s="8"/>
      <c r="AI1147" s="8"/>
      <c r="AJ1147" s="8"/>
      <c r="AK1147" s="8"/>
      <c r="AL1147" s="8"/>
      <c r="AM1147" s="8"/>
      <c r="AN1147" s="8"/>
      <c r="AO1147" s="8"/>
      <c r="AP1147" s="8"/>
      <c r="AQ1147" s="8"/>
    </row>
    <row r="1148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8"/>
      <c r="AD1148" s="8"/>
      <c r="AE1148" s="8"/>
      <c r="AF1148" s="8"/>
      <c r="AG1148" s="8"/>
      <c r="AH1148" s="8"/>
      <c r="AI1148" s="8"/>
      <c r="AJ1148" s="8"/>
      <c r="AK1148" s="8"/>
      <c r="AL1148" s="8"/>
      <c r="AM1148" s="8"/>
      <c r="AN1148" s="8"/>
      <c r="AO1148" s="8"/>
      <c r="AP1148" s="8"/>
      <c r="AQ1148" s="8"/>
    </row>
    <row r="1149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8"/>
      <c r="AG1149" s="8"/>
      <c r="AH1149" s="8"/>
      <c r="AI1149" s="8"/>
      <c r="AJ1149" s="8"/>
      <c r="AK1149" s="8"/>
      <c r="AL1149" s="8"/>
      <c r="AM1149" s="8"/>
      <c r="AN1149" s="8"/>
      <c r="AO1149" s="8"/>
      <c r="AP1149" s="8"/>
      <c r="AQ1149" s="8"/>
    </row>
    <row r="1150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8"/>
      <c r="AD1150" s="8"/>
      <c r="AE1150" s="8"/>
      <c r="AF1150" s="8"/>
      <c r="AG1150" s="8"/>
      <c r="AH1150" s="8"/>
      <c r="AI1150" s="8"/>
      <c r="AJ1150" s="8"/>
      <c r="AK1150" s="8"/>
      <c r="AL1150" s="8"/>
      <c r="AM1150" s="8"/>
      <c r="AN1150" s="8"/>
      <c r="AO1150" s="8"/>
      <c r="AP1150" s="8"/>
      <c r="AQ1150" s="8"/>
    </row>
    <row r="1151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8"/>
      <c r="AD1151" s="8"/>
      <c r="AE1151" s="8"/>
      <c r="AF1151" s="8"/>
      <c r="AG1151" s="8"/>
      <c r="AH1151" s="8"/>
      <c r="AI1151" s="8"/>
      <c r="AJ1151" s="8"/>
      <c r="AK1151" s="8"/>
      <c r="AL1151" s="8"/>
      <c r="AM1151" s="8"/>
      <c r="AN1151" s="8"/>
      <c r="AO1151" s="8"/>
      <c r="AP1151" s="8"/>
      <c r="AQ1151" s="8"/>
    </row>
    <row r="115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8"/>
      <c r="AD1152" s="8"/>
      <c r="AE1152" s="8"/>
      <c r="AF1152" s="8"/>
      <c r="AG1152" s="8"/>
      <c r="AH1152" s="8"/>
      <c r="AI1152" s="8"/>
      <c r="AJ1152" s="8"/>
      <c r="AK1152" s="8"/>
      <c r="AL1152" s="8"/>
      <c r="AM1152" s="8"/>
      <c r="AN1152" s="8"/>
      <c r="AO1152" s="8"/>
      <c r="AP1152" s="8"/>
      <c r="AQ1152" s="8"/>
    </row>
    <row r="1153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/>
      <c r="AF1153" s="8"/>
      <c r="AG1153" s="8"/>
      <c r="AH1153" s="8"/>
      <c r="AI1153" s="8"/>
      <c r="AJ1153" s="8"/>
      <c r="AK1153" s="8"/>
      <c r="AL1153" s="8"/>
      <c r="AM1153" s="8"/>
      <c r="AN1153" s="8"/>
      <c r="AO1153" s="8"/>
      <c r="AP1153" s="8"/>
      <c r="AQ1153" s="8"/>
    </row>
    <row r="1154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/>
      <c r="AD1154" s="8"/>
      <c r="AE1154" s="8"/>
      <c r="AF1154" s="8"/>
      <c r="AG1154" s="8"/>
      <c r="AH1154" s="8"/>
      <c r="AI1154" s="8"/>
      <c r="AJ1154" s="8"/>
      <c r="AK1154" s="8"/>
      <c r="AL1154" s="8"/>
      <c r="AM1154" s="8"/>
      <c r="AN1154" s="8"/>
      <c r="AO1154" s="8"/>
      <c r="AP1154" s="8"/>
      <c r="AQ1154" s="8"/>
    </row>
    <row r="1155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/>
      <c r="AF1155" s="8"/>
      <c r="AG1155" s="8"/>
      <c r="AH1155" s="8"/>
      <c r="AI1155" s="8"/>
      <c r="AJ1155" s="8"/>
      <c r="AK1155" s="8"/>
      <c r="AL1155" s="8"/>
      <c r="AM1155" s="8"/>
      <c r="AN1155" s="8"/>
      <c r="AO1155" s="8"/>
      <c r="AP1155" s="8"/>
      <c r="AQ1155" s="8"/>
    </row>
    <row r="1156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8"/>
      <c r="AD1156" s="8"/>
      <c r="AE1156" s="8"/>
      <c r="AF1156" s="8"/>
      <c r="AG1156" s="8"/>
      <c r="AH1156" s="8"/>
      <c r="AI1156" s="8"/>
      <c r="AJ1156" s="8"/>
      <c r="AK1156" s="8"/>
      <c r="AL1156" s="8"/>
      <c r="AM1156" s="8"/>
      <c r="AN1156" s="8"/>
      <c r="AO1156" s="8"/>
      <c r="AP1156" s="8"/>
      <c r="AQ1156" s="8"/>
    </row>
    <row r="1157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/>
      <c r="AF1157" s="8"/>
      <c r="AG1157" s="8"/>
      <c r="AH1157" s="8"/>
      <c r="AI1157" s="8"/>
      <c r="AJ1157" s="8"/>
      <c r="AK1157" s="8"/>
      <c r="AL1157" s="8"/>
      <c r="AM1157" s="8"/>
      <c r="AN1157" s="8"/>
      <c r="AO1157" s="8"/>
      <c r="AP1157" s="8"/>
      <c r="AQ1157" s="8"/>
    </row>
    <row r="1158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8"/>
      <c r="AD1158" s="8"/>
      <c r="AE1158" s="8"/>
      <c r="AF1158" s="8"/>
      <c r="AG1158" s="8"/>
      <c r="AH1158" s="8"/>
      <c r="AI1158" s="8"/>
      <c r="AJ1158" s="8"/>
      <c r="AK1158" s="8"/>
      <c r="AL1158" s="8"/>
      <c r="AM1158" s="8"/>
      <c r="AN1158" s="8"/>
      <c r="AO1158" s="8"/>
      <c r="AP1158" s="8"/>
      <c r="AQ1158" s="8"/>
    </row>
    <row r="1159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8"/>
      <c r="AG1159" s="8"/>
      <c r="AH1159" s="8"/>
      <c r="AI1159" s="8"/>
      <c r="AJ1159" s="8"/>
      <c r="AK1159" s="8"/>
      <c r="AL1159" s="8"/>
      <c r="AM1159" s="8"/>
      <c r="AN1159" s="8"/>
      <c r="AO1159" s="8"/>
      <c r="AP1159" s="8"/>
      <c r="AQ1159" s="8"/>
    </row>
    <row r="1160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  <c r="AB1160" s="8"/>
      <c r="AC1160" s="8"/>
      <c r="AD1160" s="8"/>
      <c r="AE1160" s="8"/>
      <c r="AF1160" s="8"/>
      <c r="AG1160" s="8"/>
      <c r="AH1160" s="8"/>
      <c r="AI1160" s="8"/>
      <c r="AJ1160" s="8"/>
      <c r="AK1160" s="8"/>
      <c r="AL1160" s="8"/>
      <c r="AM1160" s="8"/>
      <c r="AN1160" s="8"/>
      <c r="AO1160" s="8"/>
      <c r="AP1160" s="8"/>
      <c r="AQ1160" s="8"/>
    </row>
    <row r="1161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/>
      <c r="AC1161" s="8"/>
      <c r="AD1161" s="8"/>
      <c r="AE1161" s="8"/>
      <c r="AF1161" s="8"/>
      <c r="AG1161" s="8"/>
      <c r="AH1161" s="8"/>
      <c r="AI1161" s="8"/>
      <c r="AJ1161" s="8"/>
      <c r="AK1161" s="8"/>
      <c r="AL1161" s="8"/>
      <c r="AM1161" s="8"/>
      <c r="AN1161" s="8"/>
      <c r="AO1161" s="8"/>
      <c r="AP1161" s="8"/>
      <c r="AQ1161" s="8"/>
    </row>
    <row r="1162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8"/>
      <c r="AD1162" s="8"/>
      <c r="AE1162" s="8"/>
      <c r="AF1162" s="8"/>
      <c r="AG1162" s="8"/>
      <c r="AH1162" s="8"/>
      <c r="AI1162" s="8"/>
      <c r="AJ1162" s="8"/>
      <c r="AK1162" s="8"/>
      <c r="AL1162" s="8"/>
      <c r="AM1162" s="8"/>
      <c r="AN1162" s="8"/>
      <c r="AO1162" s="8"/>
      <c r="AP1162" s="8"/>
      <c r="AQ1162" s="8"/>
    </row>
    <row r="1163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8"/>
      <c r="AD1163" s="8"/>
      <c r="AE1163" s="8"/>
      <c r="AF1163" s="8"/>
      <c r="AG1163" s="8"/>
      <c r="AH1163" s="8"/>
      <c r="AI1163" s="8"/>
      <c r="AJ1163" s="8"/>
      <c r="AK1163" s="8"/>
      <c r="AL1163" s="8"/>
      <c r="AM1163" s="8"/>
      <c r="AN1163" s="8"/>
      <c r="AO1163" s="8"/>
      <c r="AP1163" s="8"/>
      <c r="AQ1163" s="8"/>
    </row>
    <row r="1164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  <c r="AB1164" s="8"/>
      <c r="AC1164" s="8"/>
      <c r="AD1164" s="8"/>
      <c r="AE1164" s="8"/>
      <c r="AF1164" s="8"/>
      <c r="AG1164" s="8"/>
      <c r="AH1164" s="8"/>
      <c r="AI1164" s="8"/>
      <c r="AJ1164" s="8"/>
      <c r="AK1164" s="8"/>
      <c r="AL1164" s="8"/>
      <c r="AM1164" s="8"/>
      <c r="AN1164" s="8"/>
      <c r="AO1164" s="8"/>
      <c r="AP1164" s="8"/>
      <c r="AQ1164" s="8"/>
    </row>
    <row r="1165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8"/>
      <c r="AD1165" s="8"/>
      <c r="AE1165" s="8"/>
      <c r="AF1165" s="8"/>
      <c r="AG1165" s="8"/>
      <c r="AH1165" s="8"/>
      <c r="AI1165" s="8"/>
      <c r="AJ1165" s="8"/>
      <c r="AK1165" s="8"/>
      <c r="AL1165" s="8"/>
      <c r="AM1165" s="8"/>
      <c r="AN1165" s="8"/>
      <c r="AO1165" s="8"/>
      <c r="AP1165" s="8"/>
      <c r="AQ1165" s="8"/>
    </row>
    <row r="1166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  <c r="AB1166" s="8"/>
      <c r="AC1166" s="8"/>
      <c r="AD1166" s="8"/>
      <c r="AE1166" s="8"/>
      <c r="AF1166" s="8"/>
      <c r="AG1166" s="8"/>
      <c r="AH1166" s="8"/>
      <c r="AI1166" s="8"/>
      <c r="AJ1166" s="8"/>
      <c r="AK1166" s="8"/>
      <c r="AL1166" s="8"/>
      <c r="AM1166" s="8"/>
      <c r="AN1166" s="8"/>
      <c r="AO1166" s="8"/>
      <c r="AP1166" s="8"/>
      <c r="AQ1166" s="8"/>
    </row>
    <row r="1167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8"/>
      <c r="AD1167" s="8"/>
      <c r="AE1167" s="8"/>
      <c r="AF1167" s="8"/>
      <c r="AG1167" s="8"/>
      <c r="AH1167" s="8"/>
      <c r="AI1167" s="8"/>
      <c r="AJ1167" s="8"/>
      <c r="AK1167" s="8"/>
      <c r="AL1167" s="8"/>
      <c r="AM1167" s="8"/>
      <c r="AN1167" s="8"/>
      <c r="AO1167" s="8"/>
      <c r="AP1167" s="8"/>
      <c r="AQ1167" s="8"/>
    </row>
    <row r="1168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  <c r="AB1168" s="8"/>
      <c r="AC1168" s="8"/>
      <c r="AD1168" s="8"/>
      <c r="AE1168" s="8"/>
      <c r="AF1168" s="8"/>
      <c r="AG1168" s="8"/>
      <c r="AH1168" s="8"/>
      <c r="AI1168" s="8"/>
      <c r="AJ1168" s="8"/>
      <c r="AK1168" s="8"/>
      <c r="AL1168" s="8"/>
      <c r="AM1168" s="8"/>
      <c r="AN1168" s="8"/>
      <c r="AO1168" s="8"/>
      <c r="AP1168" s="8"/>
      <c r="AQ1168" s="8"/>
    </row>
    <row r="1169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/>
      <c r="AF1169" s="8"/>
      <c r="AG1169" s="8"/>
      <c r="AH1169" s="8"/>
      <c r="AI1169" s="8"/>
      <c r="AJ1169" s="8"/>
      <c r="AK1169" s="8"/>
      <c r="AL1169" s="8"/>
      <c r="AM1169" s="8"/>
      <c r="AN1169" s="8"/>
      <c r="AO1169" s="8"/>
      <c r="AP1169" s="8"/>
      <c r="AQ1169" s="8"/>
    </row>
    <row r="1170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8"/>
      <c r="AD1170" s="8"/>
      <c r="AE1170" s="8"/>
      <c r="AF1170" s="8"/>
      <c r="AG1170" s="8"/>
      <c r="AH1170" s="8"/>
      <c r="AI1170" s="8"/>
      <c r="AJ1170" s="8"/>
      <c r="AK1170" s="8"/>
      <c r="AL1170" s="8"/>
      <c r="AM1170" s="8"/>
      <c r="AN1170" s="8"/>
      <c r="AO1170" s="8"/>
      <c r="AP1170" s="8"/>
      <c r="AQ1170" s="8"/>
    </row>
    <row r="1171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  <c r="AE1171" s="8"/>
      <c r="AF1171" s="8"/>
      <c r="AG1171" s="8"/>
      <c r="AH1171" s="8"/>
      <c r="AI1171" s="8"/>
      <c r="AJ1171" s="8"/>
      <c r="AK1171" s="8"/>
      <c r="AL1171" s="8"/>
      <c r="AM1171" s="8"/>
      <c r="AN1171" s="8"/>
      <c r="AO1171" s="8"/>
      <c r="AP1171" s="8"/>
      <c r="AQ1171" s="8"/>
    </row>
    <row r="1172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8"/>
      <c r="AD1172" s="8"/>
      <c r="AE1172" s="8"/>
      <c r="AF1172" s="8"/>
      <c r="AG1172" s="8"/>
      <c r="AH1172" s="8"/>
      <c r="AI1172" s="8"/>
      <c r="AJ1172" s="8"/>
      <c r="AK1172" s="8"/>
      <c r="AL1172" s="8"/>
      <c r="AM1172" s="8"/>
      <c r="AN1172" s="8"/>
      <c r="AO1172" s="8"/>
      <c r="AP1172" s="8"/>
      <c r="AQ1172" s="8"/>
    </row>
    <row r="1173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/>
      <c r="AF1173" s="8"/>
      <c r="AG1173" s="8"/>
      <c r="AH1173" s="8"/>
      <c r="AI1173" s="8"/>
      <c r="AJ1173" s="8"/>
      <c r="AK1173" s="8"/>
      <c r="AL1173" s="8"/>
      <c r="AM1173" s="8"/>
      <c r="AN1173" s="8"/>
      <c r="AO1173" s="8"/>
      <c r="AP1173" s="8"/>
      <c r="AQ1173" s="8"/>
    </row>
    <row r="1174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  <c r="AE1174" s="8"/>
      <c r="AF1174" s="8"/>
      <c r="AG1174" s="8"/>
      <c r="AH1174" s="8"/>
      <c r="AI1174" s="8"/>
      <c r="AJ1174" s="8"/>
      <c r="AK1174" s="8"/>
      <c r="AL1174" s="8"/>
      <c r="AM1174" s="8"/>
      <c r="AN1174" s="8"/>
      <c r="AO1174" s="8"/>
      <c r="AP1174" s="8"/>
      <c r="AQ1174" s="8"/>
    </row>
    <row r="1175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8"/>
      <c r="AG1175" s="8"/>
      <c r="AH1175" s="8"/>
      <c r="AI1175" s="8"/>
      <c r="AJ1175" s="8"/>
      <c r="AK1175" s="8"/>
      <c r="AL1175" s="8"/>
      <c r="AM1175" s="8"/>
      <c r="AN1175" s="8"/>
      <c r="AO1175" s="8"/>
      <c r="AP1175" s="8"/>
      <c r="AQ1175" s="8"/>
    </row>
    <row r="1176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/>
      <c r="AF1176" s="8"/>
      <c r="AG1176" s="8"/>
      <c r="AH1176" s="8"/>
      <c r="AI1176" s="8"/>
      <c r="AJ1176" s="8"/>
      <c r="AK1176" s="8"/>
      <c r="AL1176" s="8"/>
      <c r="AM1176" s="8"/>
      <c r="AN1176" s="8"/>
      <c r="AO1176" s="8"/>
      <c r="AP1176" s="8"/>
      <c r="AQ1176" s="8"/>
    </row>
    <row r="1177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8"/>
      <c r="AG1177" s="8"/>
      <c r="AH1177" s="8"/>
      <c r="AI1177" s="8"/>
      <c r="AJ1177" s="8"/>
      <c r="AK1177" s="8"/>
      <c r="AL1177" s="8"/>
      <c r="AM1177" s="8"/>
      <c r="AN1177" s="8"/>
      <c r="AO1177" s="8"/>
      <c r="AP1177" s="8"/>
      <c r="AQ1177" s="8"/>
    </row>
    <row r="1178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  <c r="AE1178" s="8"/>
      <c r="AF1178" s="8"/>
      <c r="AG1178" s="8"/>
      <c r="AH1178" s="8"/>
      <c r="AI1178" s="8"/>
      <c r="AJ1178" s="8"/>
      <c r="AK1178" s="8"/>
      <c r="AL1178" s="8"/>
      <c r="AM1178" s="8"/>
      <c r="AN1178" s="8"/>
      <c r="AO1178" s="8"/>
      <c r="AP1178" s="8"/>
      <c r="AQ1178" s="8"/>
    </row>
    <row r="1179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  <c r="AE1179" s="8"/>
      <c r="AF1179" s="8"/>
      <c r="AG1179" s="8"/>
      <c r="AH1179" s="8"/>
      <c r="AI1179" s="8"/>
      <c r="AJ1179" s="8"/>
      <c r="AK1179" s="8"/>
      <c r="AL1179" s="8"/>
      <c r="AM1179" s="8"/>
      <c r="AN1179" s="8"/>
      <c r="AO1179" s="8"/>
      <c r="AP1179" s="8"/>
      <c r="AQ1179" s="8"/>
    </row>
    <row r="1180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8"/>
      <c r="AD1180" s="8"/>
      <c r="AE1180" s="8"/>
      <c r="AF1180" s="8"/>
      <c r="AG1180" s="8"/>
      <c r="AH1180" s="8"/>
      <c r="AI1180" s="8"/>
      <c r="AJ1180" s="8"/>
      <c r="AK1180" s="8"/>
      <c r="AL1180" s="8"/>
      <c r="AM1180" s="8"/>
      <c r="AN1180" s="8"/>
      <c r="AO1180" s="8"/>
      <c r="AP1180" s="8"/>
      <c r="AQ1180" s="8"/>
    </row>
    <row r="1181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  <c r="AE1181" s="8"/>
      <c r="AF1181" s="8"/>
      <c r="AG1181" s="8"/>
      <c r="AH1181" s="8"/>
      <c r="AI1181" s="8"/>
      <c r="AJ1181" s="8"/>
      <c r="AK1181" s="8"/>
      <c r="AL1181" s="8"/>
      <c r="AM1181" s="8"/>
      <c r="AN1181" s="8"/>
      <c r="AO1181" s="8"/>
      <c r="AP1181" s="8"/>
      <c r="AQ1181" s="8"/>
    </row>
    <row r="118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  <c r="AB1182" s="8"/>
      <c r="AC1182" s="8"/>
      <c r="AD1182" s="8"/>
      <c r="AE1182" s="8"/>
      <c r="AF1182" s="8"/>
      <c r="AG1182" s="8"/>
      <c r="AH1182" s="8"/>
      <c r="AI1182" s="8"/>
      <c r="AJ1182" s="8"/>
      <c r="AK1182" s="8"/>
      <c r="AL1182" s="8"/>
      <c r="AM1182" s="8"/>
      <c r="AN1182" s="8"/>
      <c r="AO1182" s="8"/>
      <c r="AP1182" s="8"/>
      <c r="AQ1182" s="8"/>
    </row>
    <row r="1183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  <c r="AE1183" s="8"/>
      <c r="AF1183" s="8"/>
      <c r="AG1183" s="8"/>
      <c r="AH1183" s="8"/>
      <c r="AI1183" s="8"/>
      <c r="AJ1183" s="8"/>
      <c r="AK1183" s="8"/>
      <c r="AL1183" s="8"/>
      <c r="AM1183" s="8"/>
      <c r="AN1183" s="8"/>
      <c r="AO1183" s="8"/>
      <c r="AP1183" s="8"/>
      <c r="AQ1183" s="8"/>
    </row>
    <row r="1184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  <c r="AC1184" s="8"/>
      <c r="AD1184" s="8"/>
      <c r="AE1184" s="8"/>
      <c r="AF1184" s="8"/>
      <c r="AG1184" s="8"/>
      <c r="AH1184" s="8"/>
      <c r="AI1184" s="8"/>
      <c r="AJ1184" s="8"/>
      <c r="AK1184" s="8"/>
      <c r="AL1184" s="8"/>
      <c r="AM1184" s="8"/>
      <c r="AN1184" s="8"/>
      <c r="AO1184" s="8"/>
      <c r="AP1184" s="8"/>
      <c r="AQ1184" s="8"/>
    </row>
    <row r="1185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  <c r="AC1185" s="8"/>
      <c r="AD1185" s="8"/>
      <c r="AE1185" s="8"/>
      <c r="AF1185" s="8"/>
      <c r="AG1185" s="8"/>
      <c r="AH1185" s="8"/>
      <c r="AI1185" s="8"/>
      <c r="AJ1185" s="8"/>
      <c r="AK1185" s="8"/>
      <c r="AL1185" s="8"/>
      <c r="AM1185" s="8"/>
      <c r="AN1185" s="8"/>
      <c r="AO1185" s="8"/>
      <c r="AP1185" s="8"/>
      <c r="AQ1185" s="8"/>
    </row>
    <row r="1186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8"/>
      <c r="AD1186" s="8"/>
      <c r="AE1186" s="8"/>
      <c r="AF1186" s="8"/>
      <c r="AG1186" s="8"/>
      <c r="AH1186" s="8"/>
      <c r="AI1186" s="8"/>
      <c r="AJ1186" s="8"/>
      <c r="AK1186" s="8"/>
      <c r="AL1186" s="8"/>
      <c r="AM1186" s="8"/>
      <c r="AN1186" s="8"/>
      <c r="AO1186" s="8"/>
      <c r="AP1186" s="8"/>
      <c r="AQ1186" s="8"/>
    </row>
    <row r="1187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/>
      <c r="AF1187" s="8"/>
      <c r="AG1187" s="8"/>
      <c r="AH1187" s="8"/>
      <c r="AI1187" s="8"/>
      <c r="AJ1187" s="8"/>
      <c r="AK1187" s="8"/>
      <c r="AL1187" s="8"/>
      <c r="AM1187" s="8"/>
      <c r="AN1187" s="8"/>
      <c r="AO1187" s="8"/>
      <c r="AP1187" s="8"/>
      <c r="AQ1187" s="8"/>
    </row>
    <row r="1188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  <c r="AE1188" s="8"/>
      <c r="AF1188" s="8"/>
      <c r="AG1188" s="8"/>
      <c r="AH1188" s="8"/>
      <c r="AI1188" s="8"/>
      <c r="AJ1188" s="8"/>
      <c r="AK1188" s="8"/>
      <c r="AL1188" s="8"/>
      <c r="AM1188" s="8"/>
      <c r="AN1188" s="8"/>
      <c r="AO1188" s="8"/>
      <c r="AP1188" s="8"/>
      <c r="AQ1188" s="8"/>
    </row>
    <row r="1189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8"/>
      <c r="AG1189" s="8"/>
      <c r="AH1189" s="8"/>
      <c r="AI1189" s="8"/>
      <c r="AJ1189" s="8"/>
      <c r="AK1189" s="8"/>
      <c r="AL1189" s="8"/>
      <c r="AM1189" s="8"/>
      <c r="AN1189" s="8"/>
      <c r="AO1189" s="8"/>
      <c r="AP1189" s="8"/>
      <c r="AQ1189" s="8"/>
    </row>
    <row r="1190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  <c r="AB1190" s="8"/>
      <c r="AC1190" s="8"/>
      <c r="AD1190" s="8"/>
      <c r="AE1190" s="8"/>
      <c r="AF1190" s="8"/>
      <c r="AG1190" s="8"/>
      <c r="AH1190" s="8"/>
      <c r="AI1190" s="8"/>
      <c r="AJ1190" s="8"/>
      <c r="AK1190" s="8"/>
      <c r="AL1190" s="8"/>
      <c r="AM1190" s="8"/>
      <c r="AN1190" s="8"/>
      <c r="AO1190" s="8"/>
      <c r="AP1190" s="8"/>
      <c r="AQ1190" s="8"/>
    </row>
    <row r="1191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  <c r="AE1191" s="8"/>
      <c r="AF1191" s="8"/>
      <c r="AG1191" s="8"/>
      <c r="AH1191" s="8"/>
      <c r="AI1191" s="8"/>
      <c r="AJ1191" s="8"/>
      <c r="AK1191" s="8"/>
      <c r="AL1191" s="8"/>
      <c r="AM1191" s="8"/>
      <c r="AN1191" s="8"/>
      <c r="AO1191" s="8"/>
      <c r="AP1191" s="8"/>
      <c r="AQ1191" s="8"/>
    </row>
    <row r="1192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8"/>
      <c r="AD1192" s="8"/>
      <c r="AE1192" s="8"/>
      <c r="AF1192" s="8"/>
      <c r="AG1192" s="8"/>
      <c r="AH1192" s="8"/>
      <c r="AI1192" s="8"/>
      <c r="AJ1192" s="8"/>
      <c r="AK1192" s="8"/>
      <c r="AL1192" s="8"/>
      <c r="AM1192" s="8"/>
      <c r="AN1192" s="8"/>
      <c r="AO1192" s="8"/>
      <c r="AP1192" s="8"/>
      <c r="AQ1192" s="8"/>
    </row>
    <row r="1193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/>
      <c r="AF1193" s="8"/>
      <c r="AG1193" s="8"/>
      <c r="AH1193" s="8"/>
      <c r="AI1193" s="8"/>
      <c r="AJ1193" s="8"/>
      <c r="AK1193" s="8"/>
      <c r="AL1193" s="8"/>
      <c r="AM1193" s="8"/>
      <c r="AN1193" s="8"/>
      <c r="AO1193" s="8"/>
      <c r="AP1193" s="8"/>
      <c r="AQ1193" s="8"/>
    </row>
    <row r="1194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  <c r="AB1194" s="8"/>
      <c r="AC1194" s="8"/>
      <c r="AD1194" s="8"/>
      <c r="AE1194" s="8"/>
      <c r="AF1194" s="8"/>
      <c r="AG1194" s="8"/>
      <c r="AH1194" s="8"/>
      <c r="AI1194" s="8"/>
      <c r="AJ1194" s="8"/>
      <c r="AK1194" s="8"/>
      <c r="AL1194" s="8"/>
      <c r="AM1194" s="8"/>
      <c r="AN1194" s="8"/>
      <c r="AO1194" s="8"/>
      <c r="AP1194" s="8"/>
      <c r="AQ1194" s="8"/>
    </row>
    <row r="1195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  <c r="AC1195" s="8"/>
      <c r="AD1195" s="8"/>
      <c r="AE1195" s="8"/>
      <c r="AF1195" s="8"/>
      <c r="AG1195" s="8"/>
      <c r="AH1195" s="8"/>
      <c r="AI1195" s="8"/>
      <c r="AJ1195" s="8"/>
      <c r="AK1195" s="8"/>
      <c r="AL1195" s="8"/>
      <c r="AM1195" s="8"/>
      <c r="AN1195" s="8"/>
      <c r="AO1195" s="8"/>
      <c r="AP1195" s="8"/>
      <c r="AQ1195" s="8"/>
    </row>
    <row r="1196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  <c r="AC1196" s="8"/>
      <c r="AD1196" s="8"/>
      <c r="AE1196" s="8"/>
      <c r="AF1196" s="8"/>
      <c r="AG1196" s="8"/>
      <c r="AH1196" s="8"/>
      <c r="AI1196" s="8"/>
      <c r="AJ1196" s="8"/>
      <c r="AK1196" s="8"/>
      <c r="AL1196" s="8"/>
      <c r="AM1196" s="8"/>
      <c r="AN1196" s="8"/>
      <c r="AO1196" s="8"/>
      <c r="AP1196" s="8"/>
      <c r="AQ1196" s="8"/>
    </row>
    <row r="1197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/>
      <c r="AC1197" s="8"/>
      <c r="AD1197" s="8"/>
      <c r="AE1197" s="8"/>
      <c r="AF1197" s="8"/>
      <c r="AG1197" s="8"/>
      <c r="AH1197" s="8"/>
      <c r="AI1197" s="8"/>
      <c r="AJ1197" s="8"/>
      <c r="AK1197" s="8"/>
      <c r="AL1197" s="8"/>
      <c r="AM1197" s="8"/>
      <c r="AN1197" s="8"/>
      <c r="AO1197" s="8"/>
      <c r="AP1197" s="8"/>
      <c r="AQ1197" s="8"/>
    </row>
    <row r="1198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8"/>
      <c r="AD1198" s="8"/>
      <c r="AE1198" s="8"/>
      <c r="AF1198" s="8"/>
      <c r="AG1198" s="8"/>
      <c r="AH1198" s="8"/>
      <c r="AI1198" s="8"/>
      <c r="AJ1198" s="8"/>
      <c r="AK1198" s="8"/>
      <c r="AL1198" s="8"/>
      <c r="AM1198" s="8"/>
      <c r="AN1198" s="8"/>
      <c r="AO1198" s="8"/>
      <c r="AP1198" s="8"/>
      <c r="AQ1198" s="8"/>
    </row>
    <row r="1199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  <c r="AE1199" s="8"/>
      <c r="AF1199" s="8"/>
      <c r="AG1199" s="8"/>
      <c r="AH1199" s="8"/>
      <c r="AI1199" s="8"/>
      <c r="AJ1199" s="8"/>
      <c r="AK1199" s="8"/>
      <c r="AL1199" s="8"/>
      <c r="AM1199" s="8"/>
      <c r="AN1199" s="8"/>
      <c r="AO1199" s="8"/>
      <c r="AP1199" s="8"/>
      <c r="AQ1199" s="8"/>
    </row>
    <row r="1200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/>
      <c r="AC1200" s="8"/>
      <c r="AD1200" s="8"/>
      <c r="AE1200" s="8"/>
      <c r="AF1200" s="8"/>
      <c r="AG1200" s="8"/>
      <c r="AH1200" s="8"/>
      <c r="AI1200" s="8"/>
      <c r="AJ1200" s="8"/>
      <c r="AK1200" s="8"/>
      <c r="AL1200" s="8"/>
      <c r="AM1200" s="8"/>
      <c r="AN1200" s="8"/>
      <c r="AO1200" s="8"/>
      <c r="AP1200" s="8"/>
      <c r="AQ1200" s="8"/>
    </row>
    <row r="1201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/>
      <c r="AC1201" s="8"/>
      <c r="AD1201" s="8"/>
      <c r="AE1201" s="8"/>
      <c r="AF1201" s="8"/>
      <c r="AG1201" s="8"/>
      <c r="AH1201" s="8"/>
      <c r="AI1201" s="8"/>
      <c r="AJ1201" s="8"/>
      <c r="AK1201" s="8"/>
      <c r="AL1201" s="8"/>
      <c r="AM1201" s="8"/>
      <c r="AN1201" s="8"/>
      <c r="AO1201" s="8"/>
      <c r="AP1201" s="8"/>
      <c r="AQ1201" s="8"/>
    </row>
    <row r="1202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  <c r="AB1202" s="8"/>
      <c r="AC1202" s="8"/>
      <c r="AD1202" s="8"/>
      <c r="AE1202" s="8"/>
      <c r="AF1202" s="8"/>
      <c r="AG1202" s="8"/>
      <c r="AH1202" s="8"/>
      <c r="AI1202" s="8"/>
      <c r="AJ1202" s="8"/>
      <c r="AK1202" s="8"/>
      <c r="AL1202" s="8"/>
      <c r="AM1202" s="8"/>
      <c r="AN1202" s="8"/>
      <c r="AO1202" s="8"/>
      <c r="AP1202" s="8"/>
      <c r="AQ1202" s="8"/>
    </row>
    <row r="1203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  <c r="AB1203" s="8"/>
      <c r="AC1203" s="8"/>
      <c r="AD1203" s="8"/>
      <c r="AE1203" s="8"/>
      <c r="AF1203" s="8"/>
      <c r="AG1203" s="8"/>
      <c r="AH1203" s="8"/>
      <c r="AI1203" s="8"/>
      <c r="AJ1203" s="8"/>
      <c r="AK1203" s="8"/>
      <c r="AL1203" s="8"/>
      <c r="AM1203" s="8"/>
      <c r="AN1203" s="8"/>
      <c r="AO1203" s="8"/>
      <c r="AP1203" s="8"/>
      <c r="AQ1203" s="8"/>
    </row>
    <row r="1204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  <c r="AC1204" s="8"/>
      <c r="AD1204" s="8"/>
      <c r="AE1204" s="8"/>
      <c r="AF1204" s="8"/>
      <c r="AG1204" s="8"/>
      <c r="AH1204" s="8"/>
      <c r="AI1204" s="8"/>
      <c r="AJ1204" s="8"/>
      <c r="AK1204" s="8"/>
      <c r="AL1204" s="8"/>
      <c r="AM1204" s="8"/>
      <c r="AN1204" s="8"/>
      <c r="AO1204" s="8"/>
      <c r="AP1204" s="8"/>
      <c r="AQ1204" s="8"/>
    </row>
    <row r="1205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  <c r="AE1205" s="8"/>
      <c r="AF1205" s="8"/>
      <c r="AG1205" s="8"/>
      <c r="AH1205" s="8"/>
      <c r="AI1205" s="8"/>
      <c r="AJ1205" s="8"/>
      <c r="AK1205" s="8"/>
      <c r="AL1205" s="8"/>
      <c r="AM1205" s="8"/>
      <c r="AN1205" s="8"/>
      <c r="AO1205" s="8"/>
      <c r="AP1205" s="8"/>
      <c r="AQ1205" s="8"/>
    </row>
    <row r="1206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  <c r="AB1206" s="8"/>
      <c r="AC1206" s="8"/>
      <c r="AD1206" s="8"/>
      <c r="AE1206" s="8"/>
      <c r="AF1206" s="8"/>
      <c r="AG1206" s="8"/>
      <c r="AH1206" s="8"/>
      <c r="AI1206" s="8"/>
      <c r="AJ1206" s="8"/>
      <c r="AK1206" s="8"/>
      <c r="AL1206" s="8"/>
      <c r="AM1206" s="8"/>
      <c r="AN1206" s="8"/>
      <c r="AO1206" s="8"/>
      <c r="AP1206" s="8"/>
      <c r="AQ1206" s="8"/>
    </row>
    <row r="1207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  <c r="AC1207" s="8"/>
      <c r="AD1207" s="8"/>
      <c r="AE1207" s="8"/>
      <c r="AF1207" s="8"/>
      <c r="AG1207" s="8"/>
      <c r="AH1207" s="8"/>
      <c r="AI1207" s="8"/>
      <c r="AJ1207" s="8"/>
      <c r="AK1207" s="8"/>
      <c r="AL1207" s="8"/>
      <c r="AM1207" s="8"/>
      <c r="AN1207" s="8"/>
      <c r="AO1207" s="8"/>
      <c r="AP1207" s="8"/>
      <c r="AQ1207" s="8"/>
    </row>
    <row r="1208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  <c r="AB1208" s="8"/>
      <c r="AC1208" s="8"/>
      <c r="AD1208" s="8"/>
      <c r="AE1208" s="8"/>
      <c r="AF1208" s="8"/>
      <c r="AG1208" s="8"/>
      <c r="AH1208" s="8"/>
      <c r="AI1208" s="8"/>
      <c r="AJ1208" s="8"/>
      <c r="AK1208" s="8"/>
      <c r="AL1208" s="8"/>
      <c r="AM1208" s="8"/>
      <c r="AN1208" s="8"/>
      <c r="AO1208" s="8"/>
      <c r="AP1208" s="8"/>
      <c r="AQ1208" s="8"/>
    </row>
    <row r="1209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  <c r="AB1209" s="8"/>
      <c r="AC1209" s="8"/>
      <c r="AD1209" s="8"/>
      <c r="AE1209" s="8"/>
      <c r="AF1209" s="8"/>
      <c r="AG1209" s="8"/>
      <c r="AH1209" s="8"/>
      <c r="AI1209" s="8"/>
      <c r="AJ1209" s="8"/>
      <c r="AK1209" s="8"/>
      <c r="AL1209" s="8"/>
      <c r="AM1209" s="8"/>
      <c r="AN1209" s="8"/>
      <c r="AO1209" s="8"/>
      <c r="AP1209" s="8"/>
      <c r="AQ1209" s="8"/>
    </row>
    <row r="1210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  <c r="AB1210" s="8"/>
      <c r="AC1210" s="8"/>
      <c r="AD1210" s="8"/>
      <c r="AE1210" s="8"/>
      <c r="AF1210" s="8"/>
      <c r="AG1210" s="8"/>
      <c r="AH1210" s="8"/>
      <c r="AI1210" s="8"/>
      <c r="AJ1210" s="8"/>
      <c r="AK1210" s="8"/>
      <c r="AL1210" s="8"/>
      <c r="AM1210" s="8"/>
      <c r="AN1210" s="8"/>
      <c r="AO1210" s="8"/>
      <c r="AP1210" s="8"/>
      <c r="AQ1210" s="8"/>
    </row>
    <row r="1211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  <c r="AC1211" s="8"/>
      <c r="AD1211" s="8"/>
      <c r="AE1211" s="8"/>
      <c r="AF1211" s="8"/>
      <c r="AG1211" s="8"/>
      <c r="AH1211" s="8"/>
      <c r="AI1211" s="8"/>
      <c r="AJ1211" s="8"/>
      <c r="AK1211" s="8"/>
      <c r="AL1211" s="8"/>
      <c r="AM1211" s="8"/>
      <c r="AN1211" s="8"/>
      <c r="AO1211" s="8"/>
      <c r="AP1211" s="8"/>
      <c r="AQ1211" s="8"/>
    </row>
    <row r="121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/>
      <c r="AC1212" s="8"/>
      <c r="AD1212" s="8"/>
      <c r="AE1212" s="8"/>
      <c r="AF1212" s="8"/>
      <c r="AG1212" s="8"/>
      <c r="AH1212" s="8"/>
      <c r="AI1212" s="8"/>
      <c r="AJ1212" s="8"/>
      <c r="AK1212" s="8"/>
      <c r="AL1212" s="8"/>
      <c r="AM1212" s="8"/>
      <c r="AN1212" s="8"/>
      <c r="AO1212" s="8"/>
      <c r="AP1212" s="8"/>
      <c r="AQ1212" s="8"/>
    </row>
    <row r="1213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/>
      <c r="AC1213" s="8"/>
      <c r="AD1213" s="8"/>
      <c r="AE1213" s="8"/>
      <c r="AF1213" s="8"/>
      <c r="AG1213" s="8"/>
      <c r="AH1213" s="8"/>
      <c r="AI1213" s="8"/>
      <c r="AJ1213" s="8"/>
      <c r="AK1213" s="8"/>
      <c r="AL1213" s="8"/>
      <c r="AM1213" s="8"/>
      <c r="AN1213" s="8"/>
      <c r="AO1213" s="8"/>
      <c r="AP1213" s="8"/>
      <c r="AQ1213" s="8"/>
    </row>
    <row r="1214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  <c r="AB1214" s="8"/>
      <c r="AC1214" s="8"/>
      <c r="AD1214" s="8"/>
      <c r="AE1214" s="8"/>
      <c r="AF1214" s="8"/>
      <c r="AG1214" s="8"/>
      <c r="AH1214" s="8"/>
      <c r="AI1214" s="8"/>
      <c r="AJ1214" s="8"/>
      <c r="AK1214" s="8"/>
      <c r="AL1214" s="8"/>
      <c r="AM1214" s="8"/>
      <c r="AN1214" s="8"/>
      <c r="AO1214" s="8"/>
      <c r="AP1214" s="8"/>
      <c r="AQ1214" s="8"/>
    </row>
    <row r="1215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8"/>
      <c r="AB1215" s="8"/>
      <c r="AC1215" s="8"/>
      <c r="AD1215" s="8"/>
      <c r="AE1215" s="8"/>
      <c r="AF1215" s="8"/>
      <c r="AG1215" s="8"/>
      <c r="AH1215" s="8"/>
      <c r="AI1215" s="8"/>
      <c r="AJ1215" s="8"/>
      <c r="AK1215" s="8"/>
      <c r="AL1215" s="8"/>
      <c r="AM1215" s="8"/>
      <c r="AN1215" s="8"/>
      <c r="AO1215" s="8"/>
      <c r="AP1215" s="8"/>
      <c r="AQ1215" s="8"/>
    </row>
    <row r="1216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  <c r="AC1216" s="8"/>
      <c r="AD1216" s="8"/>
      <c r="AE1216" s="8"/>
      <c r="AF1216" s="8"/>
      <c r="AG1216" s="8"/>
      <c r="AH1216" s="8"/>
      <c r="AI1216" s="8"/>
      <c r="AJ1216" s="8"/>
      <c r="AK1216" s="8"/>
      <c r="AL1216" s="8"/>
      <c r="AM1216" s="8"/>
      <c r="AN1216" s="8"/>
      <c r="AO1216" s="8"/>
      <c r="AP1216" s="8"/>
      <c r="AQ1216" s="8"/>
    </row>
    <row r="1217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  <c r="AE1217" s="8"/>
      <c r="AF1217" s="8"/>
      <c r="AG1217" s="8"/>
      <c r="AH1217" s="8"/>
      <c r="AI1217" s="8"/>
      <c r="AJ1217" s="8"/>
      <c r="AK1217" s="8"/>
      <c r="AL1217" s="8"/>
      <c r="AM1217" s="8"/>
      <c r="AN1217" s="8"/>
      <c r="AO1217" s="8"/>
      <c r="AP1217" s="8"/>
      <c r="AQ1217" s="8"/>
    </row>
    <row r="1218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8"/>
      <c r="AD1218" s="8"/>
      <c r="AE1218" s="8"/>
      <c r="AF1218" s="8"/>
      <c r="AG1218" s="8"/>
      <c r="AH1218" s="8"/>
      <c r="AI1218" s="8"/>
      <c r="AJ1218" s="8"/>
      <c r="AK1218" s="8"/>
      <c r="AL1218" s="8"/>
      <c r="AM1218" s="8"/>
      <c r="AN1218" s="8"/>
      <c r="AO1218" s="8"/>
      <c r="AP1218" s="8"/>
      <c r="AQ1218" s="8"/>
    </row>
    <row r="1219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  <c r="AB1219" s="8"/>
      <c r="AC1219" s="8"/>
      <c r="AD1219" s="8"/>
      <c r="AE1219" s="8"/>
      <c r="AF1219" s="8"/>
      <c r="AG1219" s="8"/>
      <c r="AH1219" s="8"/>
      <c r="AI1219" s="8"/>
      <c r="AJ1219" s="8"/>
      <c r="AK1219" s="8"/>
      <c r="AL1219" s="8"/>
      <c r="AM1219" s="8"/>
      <c r="AN1219" s="8"/>
      <c r="AO1219" s="8"/>
      <c r="AP1219" s="8"/>
      <c r="AQ1219" s="8"/>
    </row>
    <row r="1220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  <c r="AC1220" s="8"/>
      <c r="AD1220" s="8"/>
      <c r="AE1220" s="8"/>
      <c r="AF1220" s="8"/>
      <c r="AG1220" s="8"/>
      <c r="AH1220" s="8"/>
      <c r="AI1220" s="8"/>
      <c r="AJ1220" s="8"/>
      <c r="AK1220" s="8"/>
      <c r="AL1220" s="8"/>
      <c r="AM1220" s="8"/>
      <c r="AN1220" s="8"/>
      <c r="AO1220" s="8"/>
      <c r="AP1220" s="8"/>
      <c r="AQ1220" s="8"/>
    </row>
    <row r="1221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  <c r="AC1221" s="8"/>
      <c r="AD1221" s="8"/>
      <c r="AE1221" s="8"/>
      <c r="AF1221" s="8"/>
      <c r="AG1221" s="8"/>
      <c r="AH1221" s="8"/>
      <c r="AI1221" s="8"/>
      <c r="AJ1221" s="8"/>
      <c r="AK1221" s="8"/>
      <c r="AL1221" s="8"/>
      <c r="AM1221" s="8"/>
      <c r="AN1221" s="8"/>
      <c r="AO1221" s="8"/>
      <c r="AP1221" s="8"/>
      <c r="AQ1221" s="8"/>
    </row>
    <row r="1222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  <c r="AB1222" s="8"/>
      <c r="AC1222" s="8"/>
      <c r="AD1222" s="8"/>
      <c r="AE1222" s="8"/>
      <c r="AF1222" s="8"/>
      <c r="AG1222" s="8"/>
      <c r="AH1222" s="8"/>
      <c r="AI1222" s="8"/>
      <c r="AJ1222" s="8"/>
      <c r="AK1222" s="8"/>
      <c r="AL1222" s="8"/>
      <c r="AM1222" s="8"/>
      <c r="AN1222" s="8"/>
      <c r="AO1222" s="8"/>
      <c r="AP1222" s="8"/>
      <c r="AQ1222" s="8"/>
    </row>
    <row r="1223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/>
      <c r="AC1223" s="8"/>
      <c r="AD1223" s="8"/>
      <c r="AE1223" s="8"/>
      <c r="AF1223" s="8"/>
      <c r="AG1223" s="8"/>
      <c r="AH1223" s="8"/>
      <c r="AI1223" s="8"/>
      <c r="AJ1223" s="8"/>
      <c r="AK1223" s="8"/>
      <c r="AL1223" s="8"/>
      <c r="AM1223" s="8"/>
      <c r="AN1223" s="8"/>
      <c r="AO1223" s="8"/>
      <c r="AP1223" s="8"/>
      <c r="AQ1223" s="8"/>
    </row>
    <row r="1224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  <c r="AB1224" s="8"/>
      <c r="AC1224" s="8"/>
      <c r="AD1224" s="8"/>
      <c r="AE1224" s="8"/>
      <c r="AF1224" s="8"/>
      <c r="AG1224" s="8"/>
      <c r="AH1224" s="8"/>
      <c r="AI1224" s="8"/>
      <c r="AJ1224" s="8"/>
      <c r="AK1224" s="8"/>
      <c r="AL1224" s="8"/>
      <c r="AM1224" s="8"/>
      <c r="AN1224" s="8"/>
      <c r="AO1224" s="8"/>
      <c r="AP1224" s="8"/>
      <c r="AQ1224" s="8"/>
    </row>
    <row r="1225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  <c r="AC1225" s="8"/>
      <c r="AD1225" s="8"/>
      <c r="AE1225" s="8"/>
      <c r="AF1225" s="8"/>
      <c r="AG1225" s="8"/>
      <c r="AH1225" s="8"/>
      <c r="AI1225" s="8"/>
      <c r="AJ1225" s="8"/>
      <c r="AK1225" s="8"/>
      <c r="AL1225" s="8"/>
      <c r="AM1225" s="8"/>
      <c r="AN1225" s="8"/>
      <c r="AO1225" s="8"/>
      <c r="AP1225" s="8"/>
      <c r="AQ1225" s="8"/>
    </row>
    <row r="1226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/>
      <c r="AC1226" s="8"/>
      <c r="AD1226" s="8"/>
      <c r="AE1226" s="8"/>
      <c r="AF1226" s="8"/>
      <c r="AG1226" s="8"/>
      <c r="AH1226" s="8"/>
      <c r="AI1226" s="8"/>
      <c r="AJ1226" s="8"/>
      <c r="AK1226" s="8"/>
      <c r="AL1226" s="8"/>
      <c r="AM1226" s="8"/>
      <c r="AN1226" s="8"/>
      <c r="AO1226" s="8"/>
      <c r="AP1226" s="8"/>
      <c r="AQ1226" s="8"/>
    </row>
    <row r="1227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/>
      <c r="AC1227" s="8"/>
      <c r="AD1227" s="8"/>
      <c r="AE1227" s="8"/>
      <c r="AF1227" s="8"/>
      <c r="AG1227" s="8"/>
      <c r="AH1227" s="8"/>
      <c r="AI1227" s="8"/>
      <c r="AJ1227" s="8"/>
      <c r="AK1227" s="8"/>
      <c r="AL1227" s="8"/>
      <c r="AM1227" s="8"/>
      <c r="AN1227" s="8"/>
      <c r="AO1227" s="8"/>
      <c r="AP1227" s="8"/>
      <c r="AQ1227" s="8"/>
    </row>
    <row r="1228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/>
      <c r="AC1228" s="8"/>
      <c r="AD1228" s="8"/>
      <c r="AE1228" s="8"/>
      <c r="AF1228" s="8"/>
      <c r="AG1228" s="8"/>
      <c r="AH1228" s="8"/>
      <c r="AI1228" s="8"/>
      <c r="AJ1228" s="8"/>
      <c r="AK1228" s="8"/>
      <c r="AL1228" s="8"/>
      <c r="AM1228" s="8"/>
      <c r="AN1228" s="8"/>
      <c r="AO1228" s="8"/>
      <c r="AP1228" s="8"/>
      <c r="AQ1228" s="8"/>
    </row>
    <row r="1229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  <c r="AC1229" s="8"/>
      <c r="AD1229" s="8"/>
      <c r="AE1229" s="8"/>
      <c r="AF1229" s="8"/>
      <c r="AG1229" s="8"/>
      <c r="AH1229" s="8"/>
      <c r="AI1229" s="8"/>
      <c r="AJ1229" s="8"/>
      <c r="AK1229" s="8"/>
      <c r="AL1229" s="8"/>
      <c r="AM1229" s="8"/>
      <c r="AN1229" s="8"/>
      <c r="AO1229" s="8"/>
      <c r="AP1229" s="8"/>
      <c r="AQ1229" s="8"/>
    </row>
    <row r="1230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  <c r="AB1230" s="8"/>
      <c r="AC1230" s="8"/>
      <c r="AD1230" s="8"/>
      <c r="AE1230" s="8"/>
      <c r="AF1230" s="8"/>
      <c r="AG1230" s="8"/>
      <c r="AH1230" s="8"/>
      <c r="AI1230" s="8"/>
      <c r="AJ1230" s="8"/>
      <c r="AK1230" s="8"/>
      <c r="AL1230" s="8"/>
      <c r="AM1230" s="8"/>
      <c r="AN1230" s="8"/>
      <c r="AO1230" s="8"/>
      <c r="AP1230" s="8"/>
      <c r="AQ1230" s="8"/>
    </row>
    <row r="1231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8"/>
      <c r="AB1231" s="8"/>
      <c r="AC1231" s="8"/>
      <c r="AD1231" s="8"/>
      <c r="AE1231" s="8"/>
      <c r="AF1231" s="8"/>
      <c r="AG1231" s="8"/>
      <c r="AH1231" s="8"/>
      <c r="AI1231" s="8"/>
      <c r="AJ1231" s="8"/>
      <c r="AK1231" s="8"/>
      <c r="AL1231" s="8"/>
      <c r="AM1231" s="8"/>
      <c r="AN1231" s="8"/>
      <c r="AO1231" s="8"/>
      <c r="AP1231" s="8"/>
      <c r="AQ1231" s="8"/>
    </row>
    <row r="1232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  <c r="AB1232" s="8"/>
      <c r="AC1232" s="8"/>
      <c r="AD1232" s="8"/>
      <c r="AE1232" s="8"/>
      <c r="AF1232" s="8"/>
      <c r="AG1232" s="8"/>
      <c r="AH1232" s="8"/>
      <c r="AI1232" s="8"/>
      <c r="AJ1232" s="8"/>
      <c r="AK1232" s="8"/>
      <c r="AL1232" s="8"/>
      <c r="AM1232" s="8"/>
      <c r="AN1232" s="8"/>
      <c r="AO1232" s="8"/>
      <c r="AP1232" s="8"/>
      <c r="AQ1232" s="8"/>
    </row>
    <row r="1233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  <c r="AB1233" s="8"/>
      <c r="AC1233" s="8"/>
      <c r="AD1233" s="8"/>
      <c r="AE1233" s="8"/>
      <c r="AF1233" s="8"/>
      <c r="AG1233" s="8"/>
      <c r="AH1233" s="8"/>
      <c r="AI1233" s="8"/>
      <c r="AJ1233" s="8"/>
      <c r="AK1233" s="8"/>
      <c r="AL1233" s="8"/>
      <c r="AM1233" s="8"/>
      <c r="AN1233" s="8"/>
      <c r="AO1233" s="8"/>
      <c r="AP1233" s="8"/>
      <c r="AQ1233" s="8"/>
    </row>
    <row r="1234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  <c r="AB1234" s="8"/>
      <c r="AC1234" s="8"/>
      <c r="AD1234" s="8"/>
      <c r="AE1234" s="8"/>
      <c r="AF1234" s="8"/>
      <c r="AG1234" s="8"/>
      <c r="AH1234" s="8"/>
      <c r="AI1234" s="8"/>
      <c r="AJ1234" s="8"/>
      <c r="AK1234" s="8"/>
      <c r="AL1234" s="8"/>
      <c r="AM1234" s="8"/>
      <c r="AN1234" s="8"/>
      <c r="AO1234" s="8"/>
      <c r="AP1234" s="8"/>
      <c r="AQ1234" s="8"/>
    </row>
    <row r="1235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  <c r="AC1235" s="8"/>
      <c r="AD1235" s="8"/>
      <c r="AE1235" s="8"/>
      <c r="AF1235" s="8"/>
      <c r="AG1235" s="8"/>
      <c r="AH1235" s="8"/>
      <c r="AI1235" s="8"/>
      <c r="AJ1235" s="8"/>
      <c r="AK1235" s="8"/>
      <c r="AL1235" s="8"/>
      <c r="AM1235" s="8"/>
      <c r="AN1235" s="8"/>
      <c r="AO1235" s="8"/>
      <c r="AP1235" s="8"/>
      <c r="AQ1235" s="8"/>
    </row>
    <row r="1236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  <c r="AB1236" s="8"/>
      <c r="AC1236" s="8"/>
      <c r="AD1236" s="8"/>
      <c r="AE1236" s="8"/>
      <c r="AF1236" s="8"/>
      <c r="AG1236" s="8"/>
      <c r="AH1236" s="8"/>
      <c r="AI1236" s="8"/>
      <c r="AJ1236" s="8"/>
      <c r="AK1236" s="8"/>
      <c r="AL1236" s="8"/>
      <c r="AM1236" s="8"/>
      <c r="AN1236" s="8"/>
      <c r="AO1236" s="8"/>
      <c r="AP1236" s="8"/>
      <c r="AQ1236" s="8"/>
    </row>
    <row r="1237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/>
      <c r="AC1237" s="8"/>
      <c r="AD1237" s="8"/>
      <c r="AE1237" s="8"/>
      <c r="AF1237" s="8"/>
      <c r="AG1237" s="8"/>
      <c r="AH1237" s="8"/>
      <c r="AI1237" s="8"/>
      <c r="AJ1237" s="8"/>
      <c r="AK1237" s="8"/>
      <c r="AL1237" s="8"/>
      <c r="AM1237" s="8"/>
      <c r="AN1237" s="8"/>
      <c r="AO1237" s="8"/>
      <c r="AP1237" s="8"/>
      <c r="AQ1237" s="8"/>
    </row>
    <row r="1238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  <c r="AB1238" s="8"/>
      <c r="AC1238" s="8"/>
      <c r="AD1238" s="8"/>
      <c r="AE1238" s="8"/>
      <c r="AF1238" s="8"/>
      <c r="AG1238" s="8"/>
      <c r="AH1238" s="8"/>
      <c r="AI1238" s="8"/>
      <c r="AJ1238" s="8"/>
      <c r="AK1238" s="8"/>
      <c r="AL1238" s="8"/>
      <c r="AM1238" s="8"/>
      <c r="AN1238" s="8"/>
      <c r="AO1238" s="8"/>
      <c r="AP1238" s="8"/>
      <c r="AQ1238" s="8"/>
    </row>
    <row r="1239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  <c r="AB1239" s="8"/>
      <c r="AC1239" s="8"/>
      <c r="AD1239" s="8"/>
      <c r="AE1239" s="8"/>
      <c r="AF1239" s="8"/>
      <c r="AG1239" s="8"/>
      <c r="AH1239" s="8"/>
      <c r="AI1239" s="8"/>
      <c r="AJ1239" s="8"/>
      <c r="AK1239" s="8"/>
      <c r="AL1239" s="8"/>
      <c r="AM1239" s="8"/>
      <c r="AN1239" s="8"/>
      <c r="AO1239" s="8"/>
      <c r="AP1239" s="8"/>
      <c r="AQ1239" s="8"/>
    </row>
    <row r="1240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  <c r="AB1240" s="8"/>
      <c r="AC1240" s="8"/>
      <c r="AD1240" s="8"/>
      <c r="AE1240" s="8"/>
      <c r="AF1240" s="8"/>
      <c r="AG1240" s="8"/>
      <c r="AH1240" s="8"/>
      <c r="AI1240" s="8"/>
      <c r="AJ1240" s="8"/>
      <c r="AK1240" s="8"/>
      <c r="AL1240" s="8"/>
      <c r="AM1240" s="8"/>
      <c r="AN1240" s="8"/>
      <c r="AO1240" s="8"/>
      <c r="AP1240" s="8"/>
      <c r="AQ1240" s="8"/>
    </row>
    <row r="1241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  <c r="AE1241" s="8"/>
      <c r="AF1241" s="8"/>
      <c r="AG1241" s="8"/>
      <c r="AH1241" s="8"/>
      <c r="AI1241" s="8"/>
      <c r="AJ1241" s="8"/>
      <c r="AK1241" s="8"/>
      <c r="AL1241" s="8"/>
      <c r="AM1241" s="8"/>
      <c r="AN1241" s="8"/>
      <c r="AO1241" s="8"/>
      <c r="AP1241" s="8"/>
      <c r="AQ1241" s="8"/>
    </row>
    <row r="124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8"/>
      <c r="AD1242" s="8"/>
      <c r="AE1242" s="8"/>
      <c r="AF1242" s="8"/>
      <c r="AG1242" s="8"/>
      <c r="AH1242" s="8"/>
      <c r="AI1242" s="8"/>
      <c r="AJ1242" s="8"/>
      <c r="AK1242" s="8"/>
      <c r="AL1242" s="8"/>
      <c r="AM1242" s="8"/>
      <c r="AN1242" s="8"/>
      <c r="AO1242" s="8"/>
      <c r="AP1242" s="8"/>
      <c r="AQ1242" s="8"/>
    </row>
    <row r="1243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  <c r="AE1243" s="8"/>
      <c r="AF1243" s="8"/>
      <c r="AG1243" s="8"/>
      <c r="AH1243" s="8"/>
      <c r="AI1243" s="8"/>
      <c r="AJ1243" s="8"/>
      <c r="AK1243" s="8"/>
      <c r="AL1243" s="8"/>
      <c r="AM1243" s="8"/>
      <c r="AN1243" s="8"/>
      <c r="AO1243" s="8"/>
      <c r="AP1243" s="8"/>
      <c r="AQ1243" s="8"/>
    </row>
    <row r="1244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  <c r="AB1244" s="8"/>
      <c r="AC1244" s="8"/>
      <c r="AD1244" s="8"/>
      <c r="AE1244" s="8"/>
      <c r="AF1244" s="8"/>
      <c r="AG1244" s="8"/>
      <c r="AH1244" s="8"/>
      <c r="AI1244" s="8"/>
      <c r="AJ1244" s="8"/>
      <c r="AK1244" s="8"/>
      <c r="AL1244" s="8"/>
      <c r="AM1244" s="8"/>
      <c r="AN1244" s="8"/>
      <c r="AO1244" s="8"/>
      <c r="AP1244" s="8"/>
      <c r="AQ1244" s="8"/>
    </row>
    <row r="1245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  <c r="AA1245" s="8"/>
      <c r="AB1245" s="8"/>
      <c r="AC1245" s="8"/>
      <c r="AD1245" s="8"/>
      <c r="AE1245" s="8"/>
      <c r="AF1245" s="8"/>
      <c r="AG1245" s="8"/>
      <c r="AH1245" s="8"/>
      <c r="AI1245" s="8"/>
      <c r="AJ1245" s="8"/>
      <c r="AK1245" s="8"/>
      <c r="AL1245" s="8"/>
      <c r="AM1245" s="8"/>
      <c r="AN1245" s="8"/>
      <c r="AO1245" s="8"/>
      <c r="AP1245" s="8"/>
      <c r="AQ1245" s="8"/>
    </row>
    <row r="1246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  <c r="AB1246" s="8"/>
      <c r="AC1246" s="8"/>
      <c r="AD1246" s="8"/>
      <c r="AE1246" s="8"/>
      <c r="AF1246" s="8"/>
      <c r="AG1246" s="8"/>
      <c r="AH1246" s="8"/>
      <c r="AI1246" s="8"/>
      <c r="AJ1246" s="8"/>
      <c r="AK1246" s="8"/>
      <c r="AL1246" s="8"/>
      <c r="AM1246" s="8"/>
      <c r="AN1246" s="8"/>
      <c r="AO1246" s="8"/>
      <c r="AP1246" s="8"/>
      <c r="AQ1246" s="8"/>
    </row>
    <row r="1247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  <c r="AB1247" s="8"/>
      <c r="AC1247" s="8"/>
      <c r="AD1247" s="8"/>
      <c r="AE1247" s="8"/>
      <c r="AF1247" s="8"/>
      <c r="AG1247" s="8"/>
      <c r="AH1247" s="8"/>
      <c r="AI1247" s="8"/>
      <c r="AJ1247" s="8"/>
      <c r="AK1247" s="8"/>
      <c r="AL1247" s="8"/>
      <c r="AM1247" s="8"/>
      <c r="AN1247" s="8"/>
      <c r="AO1247" s="8"/>
      <c r="AP1247" s="8"/>
      <c r="AQ1247" s="8"/>
    </row>
    <row r="1248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  <c r="AB1248" s="8"/>
      <c r="AC1248" s="8"/>
      <c r="AD1248" s="8"/>
      <c r="AE1248" s="8"/>
      <c r="AF1248" s="8"/>
      <c r="AG1248" s="8"/>
      <c r="AH1248" s="8"/>
      <c r="AI1248" s="8"/>
      <c r="AJ1248" s="8"/>
      <c r="AK1248" s="8"/>
      <c r="AL1248" s="8"/>
      <c r="AM1248" s="8"/>
      <c r="AN1248" s="8"/>
      <c r="AO1248" s="8"/>
      <c r="AP1248" s="8"/>
      <c r="AQ1248" s="8"/>
    </row>
    <row r="1249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  <c r="AC1249" s="8"/>
      <c r="AD1249" s="8"/>
      <c r="AE1249" s="8"/>
      <c r="AF1249" s="8"/>
      <c r="AG1249" s="8"/>
      <c r="AH1249" s="8"/>
      <c r="AI1249" s="8"/>
      <c r="AJ1249" s="8"/>
      <c r="AK1249" s="8"/>
      <c r="AL1249" s="8"/>
      <c r="AM1249" s="8"/>
      <c r="AN1249" s="8"/>
      <c r="AO1249" s="8"/>
      <c r="AP1249" s="8"/>
      <c r="AQ1249" s="8"/>
    </row>
    <row r="1250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8"/>
      <c r="AD1250" s="8"/>
      <c r="AE1250" s="8"/>
      <c r="AF1250" s="8"/>
      <c r="AG1250" s="8"/>
      <c r="AH1250" s="8"/>
      <c r="AI1250" s="8"/>
      <c r="AJ1250" s="8"/>
      <c r="AK1250" s="8"/>
      <c r="AL1250" s="8"/>
      <c r="AM1250" s="8"/>
      <c r="AN1250" s="8"/>
      <c r="AO1250" s="8"/>
      <c r="AP1250" s="8"/>
      <c r="AQ1250" s="8"/>
    </row>
    <row r="1251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8"/>
      <c r="AD1251" s="8"/>
      <c r="AE1251" s="8"/>
      <c r="AF1251" s="8"/>
      <c r="AG1251" s="8"/>
      <c r="AH1251" s="8"/>
      <c r="AI1251" s="8"/>
      <c r="AJ1251" s="8"/>
      <c r="AK1251" s="8"/>
      <c r="AL1251" s="8"/>
      <c r="AM1251" s="8"/>
      <c r="AN1251" s="8"/>
      <c r="AO1251" s="8"/>
      <c r="AP1251" s="8"/>
      <c r="AQ1251" s="8"/>
    </row>
    <row r="1252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/>
      <c r="AC1252" s="8"/>
      <c r="AD1252" s="8"/>
      <c r="AE1252" s="8"/>
      <c r="AF1252" s="8"/>
      <c r="AG1252" s="8"/>
      <c r="AH1252" s="8"/>
      <c r="AI1252" s="8"/>
      <c r="AJ1252" s="8"/>
      <c r="AK1252" s="8"/>
      <c r="AL1252" s="8"/>
      <c r="AM1252" s="8"/>
      <c r="AN1252" s="8"/>
      <c r="AO1252" s="8"/>
      <c r="AP1252" s="8"/>
      <c r="AQ1252" s="8"/>
    </row>
    <row r="1253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/>
      <c r="AC1253" s="8"/>
      <c r="AD1253" s="8"/>
      <c r="AE1253" s="8"/>
      <c r="AF1253" s="8"/>
      <c r="AG1253" s="8"/>
      <c r="AH1253" s="8"/>
      <c r="AI1253" s="8"/>
      <c r="AJ1253" s="8"/>
      <c r="AK1253" s="8"/>
      <c r="AL1253" s="8"/>
      <c r="AM1253" s="8"/>
      <c r="AN1253" s="8"/>
      <c r="AO1253" s="8"/>
      <c r="AP1253" s="8"/>
      <c r="AQ1253" s="8"/>
    </row>
    <row r="1254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  <c r="AB1254" s="8"/>
      <c r="AC1254" s="8"/>
      <c r="AD1254" s="8"/>
      <c r="AE1254" s="8"/>
      <c r="AF1254" s="8"/>
      <c r="AG1254" s="8"/>
      <c r="AH1254" s="8"/>
      <c r="AI1254" s="8"/>
      <c r="AJ1254" s="8"/>
      <c r="AK1254" s="8"/>
      <c r="AL1254" s="8"/>
      <c r="AM1254" s="8"/>
      <c r="AN1254" s="8"/>
      <c r="AO1254" s="8"/>
      <c r="AP1254" s="8"/>
      <c r="AQ1254" s="8"/>
    </row>
    <row r="1255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  <c r="AA1255" s="8"/>
      <c r="AB1255" s="8"/>
      <c r="AC1255" s="8"/>
      <c r="AD1255" s="8"/>
      <c r="AE1255" s="8"/>
      <c r="AF1255" s="8"/>
      <c r="AG1255" s="8"/>
      <c r="AH1255" s="8"/>
      <c r="AI1255" s="8"/>
      <c r="AJ1255" s="8"/>
      <c r="AK1255" s="8"/>
      <c r="AL1255" s="8"/>
      <c r="AM1255" s="8"/>
      <c r="AN1255" s="8"/>
      <c r="AO1255" s="8"/>
      <c r="AP1255" s="8"/>
      <c r="AQ1255" s="8"/>
    </row>
    <row r="1256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  <c r="AB1256" s="8"/>
      <c r="AC1256" s="8"/>
      <c r="AD1256" s="8"/>
      <c r="AE1256" s="8"/>
      <c r="AF1256" s="8"/>
      <c r="AG1256" s="8"/>
      <c r="AH1256" s="8"/>
      <c r="AI1256" s="8"/>
      <c r="AJ1256" s="8"/>
      <c r="AK1256" s="8"/>
      <c r="AL1256" s="8"/>
      <c r="AM1256" s="8"/>
      <c r="AN1256" s="8"/>
      <c r="AO1256" s="8"/>
      <c r="AP1256" s="8"/>
      <c r="AQ1256" s="8"/>
    </row>
    <row r="1257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  <c r="AA1257" s="8"/>
      <c r="AB1257" s="8"/>
      <c r="AC1257" s="8"/>
      <c r="AD1257" s="8"/>
      <c r="AE1257" s="8"/>
      <c r="AF1257" s="8"/>
      <c r="AG1257" s="8"/>
      <c r="AH1257" s="8"/>
      <c r="AI1257" s="8"/>
      <c r="AJ1257" s="8"/>
      <c r="AK1257" s="8"/>
      <c r="AL1257" s="8"/>
      <c r="AM1257" s="8"/>
      <c r="AN1257" s="8"/>
      <c r="AO1257" s="8"/>
      <c r="AP1257" s="8"/>
      <c r="AQ1257" s="8"/>
    </row>
    <row r="1258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  <c r="AB1258" s="8"/>
      <c r="AC1258" s="8"/>
      <c r="AD1258" s="8"/>
      <c r="AE1258" s="8"/>
      <c r="AF1258" s="8"/>
      <c r="AG1258" s="8"/>
      <c r="AH1258" s="8"/>
      <c r="AI1258" s="8"/>
      <c r="AJ1258" s="8"/>
      <c r="AK1258" s="8"/>
      <c r="AL1258" s="8"/>
      <c r="AM1258" s="8"/>
      <c r="AN1258" s="8"/>
      <c r="AO1258" s="8"/>
      <c r="AP1258" s="8"/>
      <c r="AQ1258" s="8"/>
    </row>
    <row r="1259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  <c r="AA1259" s="8"/>
      <c r="AB1259" s="8"/>
      <c r="AC1259" s="8"/>
      <c r="AD1259" s="8"/>
      <c r="AE1259" s="8"/>
      <c r="AF1259" s="8"/>
      <c r="AG1259" s="8"/>
      <c r="AH1259" s="8"/>
      <c r="AI1259" s="8"/>
      <c r="AJ1259" s="8"/>
      <c r="AK1259" s="8"/>
      <c r="AL1259" s="8"/>
      <c r="AM1259" s="8"/>
      <c r="AN1259" s="8"/>
      <c r="AO1259" s="8"/>
      <c r="AP1259" s="8"/>
      <c r="AQ1259" s="8"/>
    </row>
    <row r="1260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  <c r="AB1260" s="8"/>
      <c r="AC1260" s="8"/>
      <c r="AD1260" s="8"/>
      <c r="AE1260" s="8"/>
      <c r="AF1260" s="8"/>
      <c r="AG1260" s="8"/>
      <c r="AH1260" s="8"/>
      <c r="AI1260" s="8"/>
      <c r="AJ1260" s="8"/>
      <c r="AK1260" s="8"/>
      <c r="AL1260" s="8"/>
      <c r="AM1260" s="8"/>
      <c r="AN1260" s="8"/>
      <c r="AO1260" s="8"/>
      <c r="AP1260" s="8"/>
      <c r="AQ1260" s="8"/>
    </row>
    <row r="1261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  <c r="AC1261" s="8"/>
      <c r="AD1261" s="8"/>
      <c r="AE1261" s="8"/>
      <c r="AF1261" s="8"/>
      <c r="AG1261" s="8"/>
      <c r="AH1261" s="8"/>
      <c r="AI1261" s="8"/>
      <c r="AJ1261" s="8"/>
      <c r="AK1261" s="8"/>
      <c r="AL1261" s="8"/>
      <c r="AM1261" s="8"/>
      <c r="AN1261" s="8"/>
      <c r="AO1261" s="8"/>
      <c r="AP1261" s="8"/>
      <c r="AQ1261" s="8"/>
    </row>
    <row r="1262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  <c r="AB1262" s="8"/>
      <c r="AC1262" s="8"/>
      <c r="AD1262" s="8"/>
      <c r="AE1262" s="8"/>
      <c r="AF1262" s="8"/>
      <c r="AG1262" s="8"/>
      <c r="AH1262" s="8"/>
      <c r="AI1262" s="8"/>
      <c r="AJ1262" s="8"/>
      <c r="AK1262" s="8"/>
      <c r="AL1262" s="8"/>
      <c r="AM1262" s="8"/>
      <c r="AN1262" s="8"/>
      <c r="AO1262" s="8"/>
      <c r="AP1262" s="8"/>
      <c r="AQ1262" s="8"/>
    </row>
    <row r="1263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8"/>
      <c r="AB1263" s="8"/>
      <c r="AC1263" s="8"/>
      <c r="AD1263" s="8"/>
      <c r="AE1263" s="8"/>
      <c r="AF1263" s="8"/>
      <c r="AG1263" s="8"/>
      <c r="AH1263" s="8"/>
      <c r="AI1263" s="8"/>
      <c r="AJ1263" s="8"/>
      <c r="AK1263" s="8"/>
      <c r="AL1263" s="8"/>
      <c r="AM1263" s="8"/>
      <c r="AN1263" s="8"/>
      <c r="AO1263" s="8"/>
      <c r="AP1263" s="8"/>
      <c r="AQ1263" s="8"/>
    </row>
    <row r="1264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  <c r="AB1264" s="8"/>
      <c r="AC1264" s="8"/>
      <c r="AD1264" s="8"/>
      <c r="AE1264" s="8"/>
      <c r="AF1264" s="8"/>
      <c r="AG1264" s="8"/>
      <c r="AH1264" s="8"/>
      <c r="AI1264" s="8"/>
      <c r="AJ1264" s="8"/>
      <c r="AK1264" s="8"/>
      <c r="AL1264" s="8"/>
      <c r="AM1264" s="8"/>
      <c r="AN1264" s="8"/>
      <c r="AO1264" s="8"/>
      <c r="AP1264" s="8"/>
      <c r="AQ1264" s="8"/>
    </row>
    <row r="1265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  <c r="AA1265" s="8"/>
      <c r="AB1265" s="8"/>
      <c r="AC1265" s="8"/>
      <c r="AD1265" s="8"/>
      <c r="AE1265" s="8"/>
      <c r="AF1265" s="8"/>
      <c r="AG1265" s="8"/>
      <c r="AH1265" s="8"/>
      <c r="AI1265" s="8"/>
      <c r="AJ1265" s="8"/>
      <c r="AK1265" s="8"/>
      <c r="AL1265" s="8"/>
      <c r="AM1265" s="8"/>
      <c r="AN1265" s="8"/>
      <c r="AO1265" s="8"/>
      <c r="AP1265" s="8"/>
      <c r="AQ1265" s="8"/>
    </row>
    <row r="1266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  <c r="AB1266" s="8"/>
      <c r="AC1266" s="8"/>
      <c r="AD1266" s="8"/>
      <c r="AE1266" s="8"/>
      <c r="AF1266" s="8"/>
      <c r="AG1266" s="8"/>
      <c r="AH1266" s="8"/>
      <c r="AI1266" s="8"/>
      <c r="AJ1266" s="8"/>
      <c r="AK1266" s="8"/>
      <c r="AL1266" s="8"/>
      <c r="AM1266" s="8"/>
      <c r="AN1266" s="8"/>
      <c r="AO1266" s="8"/>
      <c r="AP1266" s="8"/>
      <c r="AQ1266" s="8"/>
    </row>
    <row r="1267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  <c r="AB1267" s="8"/>
      <c r="AC1267" s="8"/>
      <c r="AD1267" s="8"/>
      <c r="AE1267" s="8"/>
      <c r="AF1267" s="8"/>
      <c r="AG1267" s="8"/>
      <c r="AH1267" s="8"/>
      <c r="AI1267" s="8"/>
      <c r="AJ1267" s="8"/>
      <c r="AK1267" s="8"/>
      <c r="AL1267" s="8"/>
      <c r="AM1267" s="8"/>
      <c r="AN1267" s="8"/>
      <c r="AO1267" s="8"/>
      <c r="AP1267" s="8"/>
      <c r="AQ1267" s="8"/>
    </row>
    <row r="1268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  <c r="AB1268" s="8"/>
      <c r="AC1268" s="8"/>
      <c r="AD1268" s="8"/>
      <c r="AE1268" s="8"/>
      <c r="AF1268" s="8"/>
      <c r="AG1268" s="8"/>
      <c r="AH1268" s="8"/>
      <c r="AI1268" s="8"/>
      <c r="AJ1268" s="8"/>
      <c r="AK1268" s="8"/>
      <c r="AL1268" s="8"/>
      <c r="AM1268" s="8"/>
      <c r="AN1268" s="8"/>
      <c r="AO1268" s="8"/>
      <c r="AP1268" s="8"/>
      <c r="AQ1268" s="8"/>
    </row>
    <row r="1269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8"/>
      <c r="AB1269" s="8"/>
      <c r="AC1269" s="8"/>
      <c r="AD1269" s="8"/>
      <c r="AE1269" s="8"/>
      <c r="AF1269" s="8"/>
      <c r="AG1269" s="8"/>
      <c r="AH1269" s="8"/>
      <c r="AI1269" s="8"/>
      <c r="AJ1269" s="8"/>
      <c r="AK1269" s="8"/>
      <c r="AL1269" s="8"/>
      <c r="AM1269" s="8"/>
      <c r="AN1269" s="8"/>
      <c r="AO1269" s="8"/>
      <c r="AP1269" s="8"/>
      <c r="AQ1269" s="8"/>
    </row>
    <row r="1270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  <c r="AB1270" s="8"/>
      <c r="AC1270" s="8"/>
      <c r="AD1270" s="8"/>
      <c r="AE1270" s="8"/>
      <c r="AF1270" s="8"/>
      <c r="AG1270" s="8"/>
      <c r="AH1270" s="8"/>
      <c r="AI1270" s="8"/>
      <c r="AJ1270" s="8"/>
      <c r="AK1270" s="8"/>
      <c r="AL1270" s="8"/>
      <c r="AM1270" s="8"/>
      <c r="AN1270" s="8"/>
      <c r="AO1270" s="8"/>
      <c r="AP1270" s="8"/>
      <c r="AQ1270" s="8"/>
    </row>
    <row r="1271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  <c r="AA1271" s="8"/>
      <c r="AB1271" s="8"/>
      <c r="AC1271" s="8"/>
      <c r="AD1271" s="8"/>
      <c r="AE1271" s="8"/>
      <c r="AF1271" s="8"/>
      <c r="AG1271" s="8"/>
      <c r="AH1271" s="8"/>
      <c r="AI1271" s="8"/>
      <c r="AJ1271" s="8"/>
      <c r="AK1271" s="8"/>
      <c r="AL1271" s="8"/>
      <c r="AM1271" s="8"/>
      <c r="AN1271" s="8"/>
      <c r="AO1271" s="8"/>
      <c r="AP1271" s="8"/>
      <c r="AQ1271" s="8"/>
    </row>
    <row r="127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  <c r="AB1272" s="8"/>
      <c r="AC1272" s="8"/>
      <c r="AD1272" s="8"/>
      <c r="AE1272" s="8"/>
      <c r="AF1272" s="8"/>
      <c r="AG1272" s="8"/>
      <c r="AH1272" s="8"/>
      <c r="AI1272" s="8"/>
      <c r="AJ1272" s="8"/>
      <c r="AK1272" s="8"/>
      <c r="AL1272" s="8"/>
      <c r="AM1272" s="8"/>
      <c r="AN1272" s="8"/>
      <c r="AO1272" s="8"/>
      <c r="AP1272" s="8"/>
      <c r="AQ1272" s="8"/>
    </row>
    <row r="1273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  <c r="AB1273" s="8"/>
      <c r="AC1273" s="8"/>
      <c r="AD1273" s="8"/>
      <c r="AE1273" s="8"/>
      <c r="AF1273" s="8"/>
      <c r="AG1273" s="8"/>
      <c r="AH1273" s="8"/>
      <c r="AI1273" s="8"/>
      <c r="AJ1273" s="8"/>
      <c r="AK1273" s="8"/>
      <c r="AL1273" s="8"/>
      <c r="AM1273" s="8"/>
      <c r="AN1273" s="8"/>
      <c r="AO1273" s="8"/>
      <c r="AP1273" s="8"/>
      <c r="AQ1273" s="8"/>
    </row>
    <row r="1274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  <c r="AB1274" s="8"/>
      <c r="AC1274" s="8"/>
      <c r="AD1274" s="8"/>
      <c r="AE1274" s="8"/>
      <c r="AF1274" s="8"/>
      <c r="AG1274" s="8"/>
      <c r="AH1274" s="8"/>
      <c r="AI1274" s="8"/>
      <c r="AJ1274" s="8"/>
      <c r="AK1274" s="8"/>
      <c r="AL1274" s="8"/>
      <c r="AM1274" s="8"/>
      <c r="AN1274" s="8"/>
      <c r="AO1274" s="8"/>
      <c r="AP1274" s="8"/>
      <c r="AQ1274" s="8"/>
    </row>
    <row r="1275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  <c r="AB1275" s="8"/>
      <c r="AC1275" s="8"/>
      <c r="AD1275" s="8"/>
      <c r="AE1275" s="8"/>
      <c r="AF1275" s="8"/>
      <c r="AG1275" s="8"/>
      <c r="AH1275" s="8"/>
      <c r="AI1275" s="8"/>
      <c r="AJ1275" s="8"/>
      <c r="AK1275" s="8"/>
      <c r="AL1275" s="8"/>
      <c r="AM1275" s="8"/>
      <c r="AN1275" s="8"/>
      <c r="AO1275" s="8"/>
      <c r="AP1275" s="8"/>
      <c r="AQ1275" s="8"/>
    </row>
    <row r="1276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  <c r="AB1276" s="8"/>
      <c r="AC1276" s="8"/>
      <c r="AD1276" s="8"/>
      <c r="AE1276" s="8"/>
      <c r="AF1276" s="8"/>
      <c r="AG1276" s="8"/>
      <c r="AH1276" s="8"/>
      <c r="AI1276" s="8"/>
      <c r="AJ1276" s="8"/>
      <c r="AK1276" s="8"/>
      <c r="AL1276" s="8"/>
      <c r="AM1276" s="8"/>
      <c r="AN1276" s="8"/>
      <c r="AO1276" s="8"/>
      <c r="AP1276" s="8"/>
      <c r="AQ1276" s="8"/>
    </row>
    <row r="1277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8"/>
      <c r="AB1277" s="8"/>
      <c r="AC1277" s="8"/>
      <c r="AD1277" s="8"/>
      <c r="AE1277" s="8"/>
      <c r="AF1277" s="8"/>
      <c r="AG1277" s="8"/>
      <c r="AH1277" s="8"/>
      <c r="AI1277" s="8"/>
      <c r="AJ1277" s="8"/>
      <c r="AK1277" s="8"/>
      <c r="AL1277" s="8"/>
      <c r="AM1277" s="8"/>
      <c r="AN1277" s="8"/>
      <c r="AO1277" s="8"/>
      <c r="AP1277" s="8"/>
      <c r="AQ1277" s="8"/>
    </row>
    <row r="1278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  <c r="AB1278" s="8"/>
      <c r="AC1278" s="8"/>
      <c r="AD1278" s="8"/>
      <c r="AE1278" s="8"/>
      <c r="AF1278" s="8"/>
      <c r="AG1278" s="8"/>
      <c r="AH1278" s="8"/>
      <c r="AI1278" s="8"/>
      <c r="AJ1278" s="8"/>
      <c r="AK1278" s="8"/>
      <c r="AL1278" s="8"/>
      <c r="AM1278" s="8"/>
      <c r="AN1278" s="8"/>
      <c r="AO1278" s="8"/>
      <c r="AP1278" s="8"/>
      <c r="AQ1278" s="8"/>
    </row>
    <row r="1279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  <c r="AB1279" s="8"/>
      <c r="AC1279" s="8"/>
      <c r="AD1279" s="8"/>
      <c r="AE1279" s="8"/>
      <c r="AF1279" s="8"/>
      <c r="AG1279" s="8"/>
      <c r="AH1279" s="8"/>
      <c r="AI1279" s="8"/>
      <c r="AJ1279" s="8"/>
      <c r="AK1279" s="8"/>
      <c r="AL1279" s="8"/>
      <c r="AM1279" s="8"/>
      <c r="AN1279" s="8"/>
      <c r="AO1279" s="8"/>
      <c r="AP1279" s="8"/>
      <c r="AQ1279" s="8"/>
    </row>
    <row r="1280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  <c r="AB1280" s="8"/>
      <c r="AC1280" s="8"/>
      <c r="AD1280" s="8"/>
      <c r="AE1280" s="8"/>
      <c r="AF1280" s="8"/>
      <c r="AG1280" s="8"/>
      <c r="AH1280" s="8"/>
      <c r="AI1280" s="8"/>
      <c r="AJ1280" s="8"/>
      <c r="AK1280" s="8"/>
      <c r="AL1280" s="8"/>
      <c r="AM1280" s="8"/>
      <c r="AN1280" s="8"/>
      <c r="AO1280" s="8"/>
      <c r="AP1280" s="8"/>
      <c r="AQ1280" s="8"/>
    </row>
    <row r="1281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  <c r="AA1281" s="8"/>
      <c r="AB1281" s="8"/>
      <c r="AC1281" s="8"/>
      <c r="AD1281" s="8"/>
      <c r="AE1281" s="8"/>
      <c r="AF1281" s="8"/>
      <c r="AG1281" s="8"/>
      <c r="AH1281" s="8"/>
      <c r="AI1281" s="8"/>
      <c r="AJ1281" s="8"/>
      <c r="AK1281" s="8"/>
      <c r="AL1281" s="8"/>
      <c r="AM1281" s="8"/>
      <c r="AN1281" s="8"/>
      <c r="AO1281" s="8"/>
      <c r="AP1281" s="8"/>
      <c r="AQ1281" s="8"/>
    </row>
    <row r="1282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/>
      <c r="AC1282" s="8"/>
      <c r="AD1282" s="8"/>
      <c r="AE1282" s="8"/>
      <c r="AF1282" s="8"/>
      <c r="AG1282" s="8"/>
      <c r="AH1282" s="8"/>
      <c r="AI1282" s="8"/>
      <c r="AJ1282" s="8"/>
      <c r="AK1282" s="8"/>
      <c r="AL1282" s="8"/>
      <c r="AM1282" s="8"/>
      <c r="AN1282" s="8"/>
      <c r="AO1282" s="8"/>
      <c r="AP1282" s="8"/>
      <c r="AQ1282" s="8"/>
    </row>
    <row r="1283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  <c r="AA1283" s="8"/>
      <c r="AB1283" s="8"/>
      <c r="AC1283" s="8"/>
      <c r="AD1283" s="8"/>
      <c r="AE1283" s="8"/>
      <c r="AF1283" s="8"/>
      <c r="AG1283" s="8"/>
      <c r="AH1283" s="8"/>
      <c r="AI1283" s="8"/>
      <c r="AJ1283" s="8"/>
      <c r="AK1283" s="8"/>
      <c r="AL1283" s="8"/>
      <c r="AM1283" s="8"/>
      <c r="AN1283" s="8"/>
      <c r="AO1283" s="8"/>
      <c r="AP1283" s="8"/>
      <c r="AQ1283" s="8"/>
    </row>
    <row r="1284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  <c r="AB1284" s="8"/>
      <c r="AC1284" s="8"/>
      <c r="AD1284" s="8"/>
      <c r="AE1284" s="8"/>
      <c r="AF1284" s="8"/>
      <c r="AG1284" s="8"/>
      <c r="AH1284" s="8"/>
      <c r="AI1284" s="8"/>
      <c r="AJ1284" s="8"/>
      <c r="AK1284" s="8"/>
      <c r="AL1284" s="8"/>
      <c r="AM1284" s="8"/>
      <c r="AN1284" s="8"/>
      <c r="AO1284" s="8"/>
      <c r="AP1284" s="8"/>
      <c r="AQ1284" s="8"/>
    </row>
    <row r="1285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  <c r="AA1285" s="8"/>
      <c r="AB1285" s="8"/>
      <c r="AC1285" s="8"/>
      <c r="AD1285" s="8"/>
      <c r="AE1285" s="8"/>
      <c r="AF1285" s="8"/>
      <c r="AG1285" s="8"/>
      <c r="AH1285" s="8"/>
      <c r="AI1285" s="8"/>
      <c r="AJ1285" s="8"/>
      <c r="AK1285" s="8"/>
      <c r="AL1285" s="8"/>
      <c r="AM1285" s="8"/>
      <c r="AN1285" s="8"/>
      <c r="AO1285" s="8"/>
      <c r="AP1285" s="8"/>
      <c r="AQ1285" s="8"/>
    </row>
    <row r="1286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  <c r="AB1286" s="8"/>
      <c r="AC1286" s="8"/>
      <c r="AD1286" s="8"/>
      <c r="AE1286" s="8"/>
      <c r="AF1286" s="8"/>
      <c r="AG1286" s="8"/>
      <c r="AH1286" s="8"/>
      <c r="AI1286" s="8"/>
      <c r="AJ1286" s="8"/>
      <c r="AK1286" s="8"/>
      <c r="AL1286" s="8"/>
      <c r="AM1286" s="8"/>
      <c r="AN1286" s="8"/>
      <c r="AO1286" s="8"/>
      <c r="AP1286" s="8"/>
      <c r="AQ1286" s="8"/>
    </row>
    <row r="1287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  <c r="AA1287" s="8"/>
      <c r="AB1287" s="8"/>
      <c r="AC1287" s="8"/>
      <c r="AD1287" s="8"/>
      <c r="AE1287" s="8"/>
      <c r="AF1287" s="8"/>
      <c r="AG1287" s="8"/>
      <c r="AH1287" s="8"/>
      <c r="AI1287" s="8"/>
      <c r="AJ1287" s="8"/>
      <c r="AK1287" s="8"/>
      <c r="AL1287" s="8"/>
      <c r="AM1287" s="8"/>
      <c r="AN1287" s="8"/>
      <c r="AO1287" s="8"/>
      <c r="AP1287" s="8"/>
      <c r="AQ1287" s="8"/>
    </row>
    <row r="1288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8"/>
      <c r="AD1288" s="8"/>
      <c r="AE1288" s="8"/>
      <c r="AF1288" s="8"/>
      <c r="AG1288" s="8"/>
      <c r="AH1288" s="8"/>
      <c r="AI1288" s="8"/>
      <c r="AJ1288" s="8"/>
      <c r="AK1288" s="8"/>
      <c r="AL1288" s="8"/>
      <c r="AM1288" s="8"/>
      <c r="AN1288" s="8"/>
      <c r="AO1288" s="8"/>
      <c r="AP1288" s="8"/>
      <c r="AQ1288" s="8"/>
    </row>
    <row r="1289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  <c r="AA1289" s="8"/>
      <c r="AB1289" s="8"/>
      <c r="AC1289" s="8"/>
      <c r="AD1289" s="8"/>
      <c r="AE1289" s="8"/>
      <c r="AF1289" s="8"/>
      <c r="AG1289" s="8"/>
      <c r="AH1289" s="8"/>
      <c r="AI1289" s="8"/>
      <c r="AJ1289" s="8"/>
      <c r="AK1289" s="8"/>
      <c r="AL1289" s="8"/>
      <c r="AM1289" s="8"/>
      <c r="AN1289" s="8"/>
      <c r="AO1289" s="8"/>
      <c r="AP1289" s="8"/>
      <c r="AQ1289" s="8"/>
    </row>
    <row r="1290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8"/>
      <c r="AB1290" s="8"/>
      <c r="AC1290" s="8"/>
      <c r="AD1290" s="8"/>
      <c r="AE1290" s="8"/>
      <c r="AF1290" s="8"/>
      <c r="AG1290" s="8"/>
      <c r="AH1290" s="8"/>
      <c r="AI1290" s="8"/>
      <c r="AJ1290" s="8"/>
      <c r="AK1290" s="8"/>
      <c r="AL1290" s="8"/>
      <c r="AM1290" s="8"/>
      <c r="AN1290" s="8"/>
      <c r="AO1290" s="8"/>
      <c r="AP1290" s="8"/>
      <c r="AQ1290" s="8"/>
    </row>
    <row r="1291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8"/>
      <c r="AB1291" s="8"/>
      <c r="AC1291" s="8"/>
      <c r="AD1291" s="8"/>
      <c r="AE1291" s="8"/>
      <c r="AF1291" s="8"/>
      <c r="AG1291" s="8"/>
      <c r="AH1291" s="8"/>
      <c r="AI1291" s="8"/>
      <c r="AJ1291" s="8"/>
      <c r="AK1291" s="8"/>
      <c r="AL1291" s="8"/>
      <c r="AM1291" s="8"/>
      <c r="AN1291" s="8"/>
      <c r="AO1291" s="8"/>
      <c r="AP1291" s="8"/>
      <c r="AQ1291" s="8"/>
    </row>
    <row r="1292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  <c r="AB1292" s="8"/>
      <c r="AC1292" s="8"/>
      <c r="AD1292" s="8"/>
      <c r="AE1292" s="8"/>
      <c r="AF1292" s="8"/>
      <c r="AG1292" s="8"/>
      <c r="AH1292" s="8"/>
      <c r="AI1292" s="8"/>
      <c r="AJ1292" s="8"/>
      <c r="AK1292" s="8"/>
      <c r="AL1292" s="8"/>
      <c r="AM1292" s="8"/>
      <c r="AN1292" s="8"/>
      <c r="AO1292" s="8"/>
      <c r="AP1292" s="8"/>
      <c r="AQ1292" s="8"/>
    </row>
    <row r="1293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8"/>
      <c r="AD1293" s="8"/>
      <c r="AE1293" s="8"/>
      <c r="AF1293" s="8"/>
      <c r="AG1293" s="8"/>
      <c r="AH1293" s="8"/>
      <c r="AI1293" s="8"/>
      <c r="AJ1293" s="8"/>
      <c r="AK1293" s="8"/>
      <c r="AL1293" s="8"/>
      <c r="AM1293" s="8"/>
      <c r="AN1293" s="8"/>
      <c r="AO1293" s="8"/>
      <c r="AP1293" s="8"/>
      <c r="AQ1293" s="8"/>
    </row>
    <row r="1294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  <c r="AB1294" s="8"/>
      <c r="AC1294" s="8"/>
      <c r="AD1294" s="8"/>
      <c r="AE1294" s="8"/>
      <c r="AF1294" s="8"/>
      <c r="AG1294" s="8"/>
      <c r="AH1294" s="8"/>
      <c r="AI1294" s="8"/>
      <c r="AJ1294" s="8"/>
      <c r="AK1294" s="8"/>
      <c r="AL1294" s="8"/>
      <c r="AM1294" s="8"/>
      <c r="AN1294" s="8"/>
      <c r="AO1294" s="8"/>
      <c r="AP1294" s="8"/>
      <c r="AQ1294" s="8"/>
    </row>
    <row r="1295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8"/>
      <c r="AB1295" s="8"/>
      <c r="AC1295" s="8"/>
      <c r="AD1295" s="8"/>
      <c r="AE1295" s="8"/>
      <c r="AF1295" s="8"/>
      <c r="AG1295" s="8"/>
      <c r="AH1295" s="8"/>
      <c r="AI1295" s="8"/>
      <c r="AJ1295" s="8"/>
      <c r="AK1295" s="8"/>
      <c r="AL1295" s="8"/>
      <c r="AM1295" s="8"/>
      <c r="AN1295" s="8"/>
      <c r="AO1295" s="8"/>
      <c r="AP1295" s="8"/>
      <c r="AQ1295" s="8"/>
    </row>
    <row r="1296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  <c r="AB1296" s="8"/>
      <c r="AC1296" s="8"/>
      <c r="AD1296" s="8"/>
      <c r="AE1296" s="8"/>
      <c r="AF1296" s="8"/>
      <c r="AG1296" s="8"/>
      <c r="AH1296" s="8"/>
      <c r="AI1296" s="8"/>
      <c r="AJ1296" s="8"/>
      <c r="AK1296" s="8"/>
      <c r="AL1296" s="8"/>
      <c r="AM1296" s="8"/>
      <c r="AN1296" s="8"/>
      <c r="AO1296" s="8"/>
      <c r="AP1296" s="8"/>
      <c r="AQ1296" s="8"/>
    </row>
    <row r="1297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  <c r="AA1297" s="8"/>
      <c r="AB1297" s="8"/>
      <c r="AC1297" s="8"/>
      <c r="AD1297" s="8"/>
      <c r="AE1297" s="8"/>
      <c r="AF1297" s="8"/>
      <c r="AG1297" s="8"/>
      <c r="AH1297" s="8"/>
      <c r="AI1297" s="8"/>
      <c r="AJ1297" s="8"/>
      <c r="AK1297" s="8"/>
      <c r="AL1297" s="8"/>
      <c r="AM1297" s="8"/>
      <c r="AN1297" s="8"/>
      <c r="AO1297" s="8"/>
      <c r="AP1297" s="8"/>
      <c r="AQ1297" s="8"/>
    </row>
    <row r="1298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  <c r="AB1298" s="8"/>
      <c r="AC1298" s="8"/>
      <c r="AD1298" s="8"/>
      <c r="AE1298" s="8"/>
      <c r="AF1298" s="8"/>
      <c r="AG1298" s="8"/>
      <c r="AH1298" s="8"/>
      <c r="AI1298" s="8"/>
      <c r="AJ1298" s="8"/>
      <c r="AK1298" s="8"/>
      <c r="AL1298" s="8"/>
      <c r="AM1298" s="8"/>
      <c r="AN1298" s="8"/>
      <c r="AO1298" s="8"/>
      <c r="AP1298" s="8"/>
      <c r="AQ1298" s="8"/>
    </row>
    <row r="1299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8"/>
      <c r="AB1299" s="8"/>
      <c r="AC1299" s="8"/>
      <c r="AD1299" s="8"/>
      <c r="AE1299" s="8"/>
      <c r="AF1299" s="8"/>
      <c r="AG1299" s="8"/>
      <c r="AH1299" s="8"/>
      <c r="AI1299" s="8"/>
      <c r="AJ1299" s="8"/>
      <c r="AK1299" s="8"/>
      <c r="AL1299" s="8"/>
      <c r="AM1299" s="8"/>
      <c r="AN1299" s="8"/>
      <c r="AO1299" s="8"/>
      <c r="AP1299" s="8"/>
      <c r="AQ1299" s="8"/>
    </row>
    <row r="1300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  <c r="AB1300" s="8"/>
      <c r="AC1300" s="8"/>
      <c r="AD1300" s="8"/>
      <c r="AE1300" s="8"/>
      <c r="AF1300" s="8"/>
      <c r="AG1300" s="8"/>
      <c r="AH1300" s="8"/>
      <c r="AI1300" s="8"/>
      <c r="AJ1300" s="8"/>
      <c r="AK1300" s="8"/>
      <c r="AL1300" s="8"/>
      <c r="AM1300" s="8"/>
      <c r="AN1300" s="8"/>
      <c r="AO1300" s="8"/>
      <c r="AP1300" s="8"/>
      <c r="AQ1300" s="8"/>
    </row>
    <row r="1301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  <c r="AA1301" s="8"/>
      <c r="AB1301" s="8"/>
      <c r="AC1301" s="8"/>
      <c r="AD1301" s="8"/>
      <c r="AE1301" s="8"/>
      <c r="AF1301" s="8"/>
      <c r="AG1301" s="8"/>
      <c r="AH1301" s="8"/>
      <c r="AI1301" s="8"/>
      <c r="AJ1301" s="8"/>
      <c r="AK1301" s="8"/>
      <c r="AL1301" s="8"/>
      <c r="AM1301" s="8"/>
      <c r="AN1301" s="8"/>
      <c r="AO1301" s="8"/>
      <c r="AP1301" s="8"/>
      <c r="AQ1301" s="8"/>
    </row>
    <row r="130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8"/>
      <c r="AB1302" s="8"/>
      <c r="AC1302" s="8"/>
      <c r="AD1302" s="8"/>
      <c r="AE1302" s="8"/>
      <c r="AF1302" s="8"/>
      <c r="AG1302" s="8"/>
      <c r="AH1302" s="8"/>
      <c r="AI1302" s="8"/>
      <c r="AJ1302" s="8"/>
      <c r="AK1302" s="8"/>
      <c r="AL1302" s="8"/>
      <c r="AM1302" s="8"/>
      <c r="AN1302" s="8"/>
      <c r="AO1302" s="8"/>
      <c r="AP1302" s="8"/>
      <c r="AQ1302" s="8"/>
    </row>
    <row r="1303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  <c r="AA1303" s="8"/>
      <c r="AB1303" s="8"/>
      <c r="AC1303" s="8"/>
      <c r="AD1303" s="8"/>
      <c r="AE1303" s="8"/>
      <c r="AF1303" s="8"/>
      <c r="AG1303" s="8"/>
      <c r="AH1303" s="8"/>
      <c r="AI1303" s="8"/>
      <c r="AJ1303" s="8"/>
      <c r="AK1303" s="8"/>
      <c r="AL1303" s="8"/>
      <c r="AM1303" s="8"/>
      <c r="AN1303" s="8"/>
      <c r="AO1303" s="8"/>
      <c r="AP1303" s="8"/>
      <c r="AQ1303" s="8"/>
    </row>
    <row r="1304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8"/>
      <c r="AB1304" s="8"/>
      <c r="AC1304" s="8"/>
      <c r="AD1304" s="8"/>
      <c r="AE1304" s="8"/>
      <c r="AF1304" s="8"/>
      <c r="AG1304" s="8"/>
      <c r="AH1304" s="8"/>
      <c r="AI1304" s="8"/>
      <c r="AJ1304" s="8"/>
      <c r="AK1304" s="8"/>
      <c r="AL1304" s="8"/>
      <c r="AM1304" s="8"/>
      <c r="AN1304" s="8"/>
      <c r="AO1304" s="8"/>
      <c r="AP1304" s="8"/>
      <c r="AQ1304" s="8"/>
    </row>
    <row r="1305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  <c r="AA1305" s="8"/>
      <c r="AB1305" s="8"/>
      <c r="AC1305" s="8"/>
      <c r="AD1305" s="8"/>
      <c r="AE1305" s="8"/>
      <c r="AF1305" s="8"/>
      <c r="AG1305" s="8"/>
      <c r="AH1305" s="8"/>
      <c r="AI1305" s="8"/>
      <c r="AJ1305" s="8"/>
      <c r="AK1305" s="8"/>
      <c r="AL1305" s="8"/>
      <c r="AM1305" s="8"/>
      <c r="AN1305" s="8"/>
      <c r="AO1305" s="8"/>
      <c r="AP1305" s="8"/>
      <c r="AQ1305" s="8"/>
    </row>
    <row r="1306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8"/>
      <c r="AB1306" s="8"/>
      <c r="AC1306" s="8"/>
      <c r="AD1306" s="8"/>
      <c r="AE1306" s="8"/>
      <c r="AF1306" s="8"/>
      <c r="AG1306" s="8"/>
      <c r="AH1306" s="8"/>
      <c r="AI1306" s="8"/>
      <c r="AJ1306" s="8"/>
      <c r="AK1306" s="8"/>
      <c r="AL1306" s="8"/>
      <c r="AM1306" s="8"/>
      <c r="AN1306" s="8"/>
      <c r="AO1306" s="8"/>
      <c r="AP1306" s="8"/>
      <c r="AQ1306" s="8"/>
    </row>
    <row r="1307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  <c r="AA1307" s="8"/>
      <c r="AB1307" s="8"/>
      <c r="AC1307" s="8"/>
      <c r="AD1307" s="8"/>
      <c r="AE1307" s="8"/>
      <c r="AF1307" s="8"/>
      <c r="AG1307" s="8"/>
      <c r="AH1307" s="8"/>
      <c r="AI1307" s="8"/>
      <c r="AJ1307" s="8"/>
      <c r="AK1307" s="8"/>
      <c r="AL1307" s="8"/>
      <c r="AM1307" s="8"/>
      <c r="AN1307" s="8"/>
      <c r="AO1307" s="8"/>
      <c r="AP1307" s="8"/>
      <c r="AQ1307" s="8"/>
    </row>
    <row r="1308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  <c r="AA1308" s="8"/>
      <c r="AB1308" s="8"/>
      <c r="AC1308" s="8"/>
      <c r="AD1308" s="8"/>
      <c r="AE1308" s="8"/>
      <c r="AF1308" s="8"/>
      <c r="AG1308" s="8"/>
      <c r="AH1308" s="8"/>
      <c r="AI1308" s="8"/>
      <c r="AJ1308" s="8"/>
      <c r="AK1308" s="8"/>
      <c r="AL1308" s="8"/>
      <c r="AM1308" s="8"/>
      <c r="AN1308" s="8"/>
      <c r="AO1308" s="8"/>
      <c r="AP1308" s="8"/>
      <c r="AQ1308" s="8"/>
    </row>
    <row r="1309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  <c r="AA1309" s="8"/>
      <c r="AB1309" s="8"/>
      <c r="AC1309" s="8"/>
      <c r="AD1309" s="8"/>
      <c r="AE1309" s="8"/>
      <c r="AF1309" s="8"/>
      <c r="AG1309" s="8"/>
      <c r="AH1309" s="8"/>
      <c r="AI1309" s="8"/>
      <c r="AJ1309" s="8"/>
      <c r="AK1309" s="8"/>
      <c r="AL1309" s="8"/>
      <c r="AM1309" s="8"/>
      <c r="AN1309" s="8"/>
      <c r="AO1309" s="8"/>
      <c r="AP1309" s="8"/>
      <c r="AQ1309" s="8"/>
    </row>
    <row r="1310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  <c r="AA1310" s="8"/>
      <c r="AB1310" s="8"/>
      <c r="AC1310" s="8"/>
      <c r="AD1310" s="8"/>
      <c r="AE1310" s="8"/>
      <c r="AF1310" s="8"/>
      <c r="AG1310" s="8"/>
      <c r="AH1310" s="8"/>
      <c r="AI1310" s="8"/>
      <c r="AJ1310" s="8"/>
      <c r="AK1310" s="8"/>
      <c r="AL1310" s="8"/>
      <c r="AM1310" s="8"/>
      <c r="AN1310" s="8"/>
      <c r="AO1310" s="8"/>
      <c r="AP1310" s="8"/>
      <c r="AQ1310" s="8"/>
    </row>
    <row r="1311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  <c r="AA1311" s="8"/>
      <c r="AB1311" s="8"/>
      <c r="AC1311" s="8"/>
      <c r="AD1311" s="8"/>
      <c r="AE1311" s="8"/>
      <c r="AF1311" s="8"/>
      <c r="AG1311" s="8"/>
      <c r="AH1311" s="8"/>
      <c r="AI1311" s="8"/>
      <c r="AJ1311" s="8"/>
      <c r="AK1311" s="8"/>
      <c r="AL1311" s="8"/>
      <c r="AM1311" s="8"/>
      <c r="AN1311" s="8"/>
      <c r="AO1311" s="8"/>
      <c r="AP1311" s="8"/>
      <c r="AQ1311" s="8"/>
    </row>
    <row r="1312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  <c r="AA1312" s="8"/>
      <c r="AB1312" s="8"/>
      <c r="AC1312" s="8"/>
      <c r="AD1312" s="8"/>
      <c r="AE1312" s="8"/>
      <c r="AF1312" s="8"/>
      <c r="AG1312" s="8"/>
      <c r="AH1312" s="8"/>
      <c r="AI1312" s="8"/>
      <c r="AJ1312" s="8"/>
      <c r="AK1312" s="8"/>
      <c r="AL1312" s="8"/>
      <c r="AM1312" s="8"/>
      <c r="AN1312" s="8"/>
      <c r="AO1312" s="8"/>
      <c r="AP1312" s="8"/>
      <c r="AQ1312" s="8"/>
    </row>
    <row r="1313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  <c r="AA1313" s="8"/>
      <c r="AB1313" s="8"/>
      <c r="AC1313" s="8"/>
      <c r="AD1313" s="8"/>
      <c r="AE1313" s="8"/>
      <c r="AF1313" s="8"/>
      <c r="AG1313" s="8"/>
      <c r="AH1313" s="8"/>
      <c r="AI1313" s="8"/>
      <c r="AJ1313" s="8"/>
      <c r="AK1313" s="8"/>
      <c r="AL1313" s="8"/>
      <c r="AM1313" s="8"/>
      <c r="AN1313" s="8"/>
      <c r="AO1313" s="8"/>
      <c r="AP1313" s="8"/>
      <c r="AQ1313" s="8"/>
    </row>
    <row r="1314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  <c r="AA1314" s="8"/>
      <c r="AB1314" s="8"/>
      <c r="AC1314" s="8"/>
      <c r="AD1314" s="8"/>
      <c r="AE1314" s="8"/>
      <c r="AF1314" s="8"/>
      <c r="AG1314" s="8"/>
      <c r="AH1314" s="8"/>
      <c r="AI1314" s="8"/>
      <c r="AJ1314" s="8"/>
      <c r="AK1314" s="8"/>
      <c r="AL1314" s="8"/>
      <c r="AM1314" s="8"/>
      <c r="AN1314" s="8"/>
      <c r="AO1314" s="8"/>
      <c r="AP1314" s="8"/>
      <c r="AQ1314" s="8"/>
    </row>
    <row r="1315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  <c r="AA1315" s="8"/>
      <c r="AB1315" s="8"/>
      <c r="AC1315" s="8"/>
      <c r="AD1315" s="8"/>
      <c r="AE1315" s="8"/>
      <c r="AF1315" s="8"/>
      <c r="AG1315" s="8"/>
      <c r="AH1315" s="8"/>
      <c r="AI1315" s="8"/>
      <c r="AJ1315" s="8"/>
      <c r="AK1315" s="8"/>
      <c r="AL1315" s="8"/>
      <c r="AM1315" s="8"/>
      <c r="AN1315" s="8"/>
      <c r="AO1315" s="8"/>
      <c r="AP1315" s="8"/>
      <c r="AQ1315" s="8"/>
    </row>
    <row r="1316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  <c r="AA1316" s="8"/>
      <c r="AB1316" s="8"/>
      <c r="AC1316" s="8"/>
      <c r="AD1316" s="8"/>
      <c r="AE1316" s="8"/>
      <c r="AF1316" s="8"/>
      <c r="AG1316" s="8"/>
      <c r="AH1316" s="8"/>
      <c r="AI1316" s="8"/>
      <c r="AJ1316" s="8"/>
      <c r="AK1316" s="8"/>
      <c r="AL1316" s="8"/>
      <c r="AM1316" s="8"/>
      <c r="AN1316" s="8"/>
      <c r="AO1316" s="8"/>
      <c r="AP1316" s="8"/>
      <c r="AQ1316" s="8"/>
    </row>
    <row r="1317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  <c r="AA1317" s="8"/>
      <c r="AB1317" s="8"/>
      <c r="AC1317" s="8"/>
      <c r="AD1317" s="8"/>
      <c r="AE1317" s="8"/>
      <c r="AF1317" s="8"/>
      <c r="AG1317" s="8"/>
      <c r="AH1317" s="8"/>
      <c r="AI1317" s="8"/>
      <c r="AJ1317" s="8"/>
      <c r="AK1317" s="8"/>
      <c r="AL1317" s="8"/>
      <c r="AM1317" s="8"/>
      <c r="AN1317" s="8"/>
      <c r="AO1317" s="8"/>
      <c r="AP1317" s="8"/>
      <c r="AQ1317" s="8"/>
    </row>
    <row r="1318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  <c r="AA1318" s="8"/>
      <c r="AB1318" s="8"/>
      <c r="AC1318" s="8"/>
      <c r="AD1318" s="8"/>
      <c r="AE1318" s="8"/>
      <c r="AF1318" s="8"/>
      <c r="AG1318" s="8"/>
      <c r="AH1318" s="8"/>
      <c r="AI1318" s="8"/>
      <c r="AJ1318" s="8"/>
      <c r="AK1318" s="8"/>
      <c r="AL1318" s="8"/>
      <c r="AM1318" s="8"/>
      <c r="AN1318" s="8"/>
      <c r="AO1318" s="8"/>
      <c r="AP1318" s="8"/>
      <c r="AQ1318" s="8"/>
    </row>
    <row r="1319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  <c r="AA1319" s="8"/>
      <c r="AB1319" s="8"/>
      <c r="AC1319" s="8"/>
      <c r="AD1319" s="8"/>
      <c r="AE1319" s="8"/>
      <c r="AF1319" s="8"/>
      <c r="AG1319" s="8"/>
      <c r="AH1319" s="8"/>
      <c r="AI1319" s="8"/>
      <c r="AJ1319" s="8"/>
      <c r="AK1319" s="8"/>
      <c r="AL1319" s="8"/>
      <c r="AM1319" s="8"/>
      <c r="AN1319" s="8"/>
      <c r="AO1319" s="8"/>
      <c r="AP1319" s="8"/>
      <c r="AQ1319" s="8"/>
    </row>
    <row r="1320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  <c r="AA1320" s="8"/>
      <c r="AB1320" s="8"/>
      <c r="AC1320" s="8"/>
      <c r="AD1320" s="8"/>
      <c r="AE1320" s="8"/>
      <c r="AF1320" s="8"/>
      <c r="AG1320" s="8"/>
      <c r="AH1320" s="8"/>
      <c r="AI1320" s="8"/>
      <c r="AJ1320" s="8"/>
      <c r="AK1320" s="8"/>
      <c r="AL1320" s="8"/>
      <c r="AM1320" s="8"/>
      <c r="AN1320" s="8"/>
      <c r="AO1320" s="8"/>
      <c r="AP1320" s="8"/>
      <c r="AQ1320" s="8"/>
    </row>
    <row r="1321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  <c r="AA1321" s="8"/>
      <c r="AB1321" s="8"/>
      <c r="AC1321" s="8"/>
      <c r="AD1321" s="8"/>
      <c r="AE1321" s="8"/>
      <c r="AF1321" s="8"/>
      <c r="AG1321" s="8"/>
      <c r="AH1321" s="8"/>
      <c r="AI1321" s="8"/>
      <c r="AJ1321" s="8"/>
      <c r="AK1321" s="8"/>
      <c r="AL1321" s="8"/>
      <c r="AM1321" s="8"/>
      <c r="AN1321" s="8"/>
      <c r="AO1321" s="8"/>
      <c r="AP1321" s="8"/>
      <c r="AQ1321" s="8"/>
    </row>
    <row r="1322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  <c r="AA1322" s="8"/>
      <c r="AB1322" s="8"/>
      <c r="AC1322" s="8"/>
      <c r="AD1322" s="8"/>
      <c r="AE1322" s="8"/>
      <c r="AF1322" s="8"/>
      <c r="AG1322" s="8"/>
      <c r="AH1322" s="8"/>
      <c r="AI1322" s="8"/>
      <c r="AJ1322" s="8"/>
      <c r="AK1322" s="8"/>
      <c r="AL1322" s="8"/>
      <c r="AM1322" s="8"/>
      <c r="AN1322" s="8"/>
      <c r="AO1322" s="8"/>
      <c r="AP1322" s="8"/>
      <c r="AQ1322" s="8"/>
    </row>
    <row r="1323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  <c r="AA1323" s="8"/>
      <c r="AB1323" s="8"/>
      <c r="AC1323" s="8"/>
      <c r="AD1323" s="8"/>
      <c r="AE1323" s="8"/>
      <c r="AF1323" s="8"/>
      <c r="AG1323" s="8"/>
      <c r="AH1323" s="8"/>
      <c r="AI1323" s="8"/>
      <c r="AJ1323" s="8"/>
      <c r="AK1323" s="8"/>
      <c r="AL1323" s="8"/>
      <c r="AM1323" s="8"/>
      <c r="AN1323" s="8"/>
      <c r="AO1323" s="8"/>
      <c r="AP1323" s="8"/>
      <c r="AQ1323" s="8"/>
    </row>
    <row r="1324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  <c r="AA1324" s="8"/>
      <c r="AB1324" s="8"/>
      <c r="AC1324" s="8"/>
      <c r="AD1324" s="8"/>
      <c r="AE1324" s="8"/>
      <c r="AF1324" s="8"/>
      <c r="AG1324" s="8"/>
      <c r="AH1324" s="8"/>
      <c r="AI1324" s="8"/>
      <c r="AJ1324" s="8"/>
      <c r="AK1324" s="8"/>
      <c r="AL1324" s="8"/>
      <c r="AM1324" s="8"/>
      <c r="AN1324" s="8"/>
      <c r="AO1324" s="8"/>
      <c r="AP1324" s="8"/>
      <c r="AQ1324" s="8"/>
    </row>
    <row r="1325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  <c r="AA1325" s="8"/>
      <c r="AB1325" s="8"/>
      <c r="AC1325" s="8"/>
      <c r="AD1325" s="8"/>
      <c r="AE1325" s="8"/>
      <c r="AF1325" s="8"/>
      <c r="AG1325" s="8"/>
      <c r="AH1325" s="8"/>
      <c r="AI1325" s="8"/>
      <c r="AJ1325" s="8"/>
      <c r="AK1325" s="8"/>
      <c r="AL1325" s="8"/>
      <c r="AM1325" s="8"/>
      <c r="AN1325" s="8"/>
      <c r="AO1325" s="8"/>
      <c r="AP1325" s="8"/>
      <c r="AQ1325" s="8"/>
    </row>
    <row r="1326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  <c r="AA1326" s="8"/>
      <c r="AB1326" s="8"/>
      <c r="AC1326" s="8"/>
      <c r="AD1326" s="8"/>
      <c r="AE1326" s="8"/>
      <c r="AF1326" s="8"/>
      <c r="AG1326" s="8"/>
      <c r="AH1326" s="8"/>
      <c r="AI1326" s="8"/>
      <c r="AJ1326" s="8"/>
      <c r="AK1326" s="8"/>
      <c r="AL1326" s="8"/>
      <c r="AM1326" s="8"/>
      <c r="AN1326" s="8"/>
      <c r="AO1326" s="8"/>
      <c r="AP1326" s="8"/>
      <c r="AQ1326" s="8"/>
    </row>
    <row r="1327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  <c r="W1327" s="8"/>
      <c r="X1327" s="8"/>
      <c r="Y1327" s="8"/>
      <c r="Z1327" s="8"/>
      <c r="AA1327" s="8"/>
      <c r="AB1327" s="8"/>
      <c r="AC1327" s="8"/>
      <c r="AD1327" s="8"/>
      <c r="AE1327" s="8"/>
      <c r="AF1327" s="8"/>
      <c r="AG1327" s="8"/>
      <c r="AH1327" s="8"/>
      <c r="AI1327" s="8"/>
      <c r="AJ1327" s="8"/>
      <c r="AK1327" s="8"/>
      <c r="AL1327" s="8"/>
      <c r="AM1327" s="8"/>
      <c r="AN1327" s="8"/>
      <c r="AO1327" s="8"/>
      <c r="AP1327" s="8"/>
      <c r="AQ1327" s="8"/>
    </row>
    <row r="1328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  <c r="AA1328" s="8"/>
      <c r="AB1328" s="8"/>
      <c r="AC1328" s="8"/>
      <c r="AD1328" s="8"/>
      <c r="AE1328" s="8"/>
      <c r="AF1328" s="8"/>
      <c r="AG1328" s="8"/>
      <c r="AH1328" s="8"/>
      <c r="AI1328" s="8"/>
      <c r="AJ1328" s="8"/>
      <c r="AK1328" s="8"/>
      <c r="AL1328" s="8"/>
      <c r="AM1328" s="8"/>
      <c r="AN1328" s="8"/>
      <c r="AO1328" s="8"/>
      <c r="AP1328" s="8"/>
      <c r="AQ1328" s="8"/>
    </row>
    <row r="1329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  <c r="AA1329" s="8"/>
      <c r="AB1329" s="8"/>
      <c r="AC1329" s="8"/>
      <c r="AD1329" s="8"/>
      <c r="AE1329" s="8"/>
      <c r="AF1329" s="8"/>
      <c r="AG1329" s="8"/>
      <c r="AH1329" s="8"/>
      <c r="AI1329" s="8"/>
      <c r="AJ1329" s="8"/>
      <c r="AK1329" s="8"/>
      <c r="AL1329" s="8"/>
      <c r="AM1329" s="8"/>
      <c r="AN1329" s="8"/>
      <c r="AO1329" s="8"/>
      <c r="AP1329" s="8"/>
      <c r="AQ1329" s="8"/>
    </row>
    <row r="1330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  <c r="Y1330" s="8"/>
      <c r="Z1330" s="8"/>
      <c r="AA1330" s="8"/>
      <c r="AB1330" s="8"/>
      <c r="AC1330" s="8"/>
      <c r="AD1330" s="8"/>
      <c r="AE1330" s="8"/>
      <c r="AF1330" s="8"/>
      <c r="AG1330" s="8"/>
      <c r="AH1330" s="8"/>
      <c r="AI1330" s="8"/>
      <c r="AJ1330" s="8"/>
      <c r="AK1330" s="8"/>
      <c r="AL1330" s="8"/>
      <c r="AM1330" s="8"/>
      <c r="AN1330" s="8"/>
      <c r="AO1330" s="8"/>
      <c r="AP1330" s="8"/>
      <c r="AQ1330" s="8"/>
    </row>
    <row r="1331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  <c r="AA1331" s="8"/>
      <c r="AB1331" s="8"/>
      <c r="AC1331" s="8"/>
      <c r="AD1331" s="8"/>
      <c r="AE1331" s="8"/>
      <c r="AF1331" s="8"/>
      <c r="AG1331" s="8"/>
      <c r="AH1331" s="8"/>
      <c r="AI1331" s="8"/>
      <c r="AJ1331" s="8"/>
      <c r="AK1331" s="8"/>
      <c r="AL1331" s="8"/>
      <c r="AM1331" s="8"/>
      <c r="AN1331" s="8"/>
      <c r="AO1331" s="8"/>
      <c r="AP1331" s="8"/>
      <c r="AQ1331" s="8"/>
    </row>
    <row r="133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  <c r="AA1332" s="8"/>
      <c r="AB1332" s="8"/>
      <c r="AC1332" s="8"/>
      <c r="AD1332" s="8"/>
      <c r="AE1332" s="8"/>
      <c r="AF1332" s="8"/>
      <c r="AG1332" s="8"/>
      <c r="AH1332" s="8"/>
      <c r="AI1332" s="8"/>
      <c r="AJ1332" s="8"/>
      <c r="AK1332" s="8"/>
      <c r="AL1332" s="8"/>
      <c r="AM1332" s="8"/>
      <c r="AN1332" s="8"/>
      <c r="AO1332" s="8"/>
      <c r="AP1332" s="8"/>
      <c r="AQ1332" s="8"/>
    </row>
    <row r="1333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  <c r="W1333" s="8"/>
      <c r="X1333" s="8"/>
      <c r="Y1333" s="8"/>
      <c r="Z1333" s="8"/>
      <c r="AA1333" s="8"/>
      <c r="AB1333" s="8"/>
      <c r="AC1333" s="8"/>
      <c r="AD1333" s="8"/>
      <c r="AE1333" s="8"/>
      <c r="AF1333" s="8"/>
      <c r="AG1333" s="8"/>
      <c r="AH1333" s="8"/>
      <c r="AI1333" s="8"/>
      <c r="AJ1333" s="8"/>
      <c r="AK1333" s="8"/>
      <c r="AL1333" s="8"/>
      <c r="AM1333" s="8"/>
      <c r="AN1333" s="8"/>
      <c r="AO1333" s="8"/>
      <c r="AP1333" s="8"/>
      <c r="AQ1333" s="8"/>
    </row>
    <row r="1334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  <c r="AA1334" s="8"/>
      <c r="AB1334" s="8"/>
      <c r="AC1334" s="8"/>
      <c r="AD1334" s="8"/>
      <c r="AE1334" s="8"/>
      <c r="AF1334" s="8"/>
      <c r="AG1334" s="8"/>
      <c r="AH1334" s="8"/>
      <c r="AI1334" s="8"/>
      <c r="AJ1334" s="8"/>
      <c r="AK1334" s="8"/>
      <c r="AL1334" s="8"/>
      <c r="AM1334" s="8"/>
      <c r="AN1334" s="8"/>
      <c r="AO1334" s="8"/>
      <c r="AP1334" s="8"/>
      <c r="AQ1334" s="8"/>
    </row>
    <row r="1335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  <c r="AA1335" s="8"/>
      <c r="AB1335" s="8"/>
      <c r="AC1335" s="8"/>
      <c r="AD1335" s="8"/>
      <c r="AE1335" s="8"/>
      <c r="AF1335" s="8"/>
      <c r="AG1335" s="8"/>
      <c r="AH1335" s="8"/>
      <c r="AI1335" s="8"/>
      <c r="AJ1335" s="8"/>
      <c r="AK1335" s="8"/>
      <c r="AL1335" s="8"/>
      <c r="AM1335" s="8"/>
      <c r="AN1335" s="8"/>
      <c r="AO1335" s="8"/>
      <c r="AP1335" s="8"/>
      <c r="AQ1335" s="8"/>
    </row>
    <row r="1336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  <c r="W1336" s="8"/>
      <c r="X1336" s="8"/>
      <c r="Y1336" s="8"/>
      <c r="Z1336" s="8"/>
      <c r="AA1336" s="8"/>
      <c r="AB1336" s="8"/>
      <c r="AC1336" s="8"/>
      <c r="AD1336" s="8"/>
      <c r="AE1336" s="8"/>
      <c r="AF1336" s="8"/>
      <c r="AG1336" s="8"/>
      <c r="AH1336" s="8"/>
      <c r="AI1336" s="8"/>
      <c r="AJ1336" s="8"/>
      <c r="AK1336" s="8"/>
      <c r="AL1336" s="8"/>
      <c r="AM1336" s="8"/>
      <c r="AN1336" s="8"/>
      <c r="AO1336" s="8"/>
      <c r="AP1336" s="8"/>
      <c r="AQ1336" s="8"/>
    </row>
    <row r="1337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  <c r="AA1337" s="8"/>
      <c r="AB1337" s="8"/>
      <c r="AC1337" s="8"/>
      <c r="AD1337" s="8"/>
      <c r="AE1337" s="8"/>
      <c r="AF1337" s="8"/>
      <c r="AG1337" s="8"/>
      <c r="AH1337" s="8"/>
      <c r="AI1337" s="8"/>
      <c r="AJ1337" s="8"/>
      <c r="AK1337" s="8"/>
      <c r="AL1337" s="8"/>
      <c r="AM1337" s="8"/>
      <c r="AN1337" s="8"/>
      <c r="AO1337" s="8"/>
      <c r="AP1337" s="8"/>
      <c r="AQ1337" s="8"/>
    </row>
    <row r="1338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  <c r="AA1338" s="8"/>
      <c r="AB1338" s="8"/>
      <c r="AC1338" s="8"/>
      <c r="AD1338" s="8"/>
      <c r="AE1338" s="8"/>
      <c r="AF1338" s="8"/>
      <c r="AG1338" s="8"/>
      <c r="AH1338" s="8"/>
      <c r="AI1338" s="8"/>
      <c r="AJ1338" s="8"/>
      <c r="AK1338" s="8"/>
      <c r="AL1338" s="8"/>
      <c r="AM1338" s="8"/>
      <c r="AN1338" s="8"/>
      <c r="AO1338" s="8"/>
      <c r="AP1338" s="8"/>
      <c r="AQ1338" s="8"/>
    </row>
    <row r="1339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  <c r="W1339" s="8"/>
      <c r="X1339" s="8"/>
      <c r="Y1339" s="8"/>
      <c r="Z1339" s="8"/>
      <c r="AA1339" s="8"/>
      <c r="AB1339" s="8"/>
      <c r="AC1339" s="8"/>
      <c r="AD1339" s="8"/>
      <c r="AE1339" s="8"/>
      <c r="AF1339" s="8"/>
      <c r="AG1339" s="8"/>
      <c r="AH1339" s="8"/>
      <c r="AI1339" s="8"/>
      <c r="AJ1339" s="8"/>
      <c r="AK1339" s="8"/>
      <c r="AL1339" s="8"/>
      <c r="AM1339" s="8"/>
      <c r="AN1339" s="8"/>
      <c r="AO1339" s="8"/>
      <c r="AP1339" s="8"/>
      <c r="AQ1339" s="8"/>
    </row>
  </sheetData>
  <mergeCells count="23">
    <mergeCell ref="A2:B5"/>
    <mergeCell ref="AB2:AB15"/>
    <mergeCell ref="AC2:AC18"/>
    <mergeCell ref="A7:B15"/>
    <mergeCell ref="A17:B24"/>
    <mergeCell ref="A26:B33"/>
    <mergeCell ref="AB47:AB57"/>
    <mergeCell ref="A46:B54"/>
    <mergeCell ref="A56:B63"/>
    <mergeCell ref="A65:B72"/>
    <mergeCell ref="A87:B95"/>
    <mergeCell ref="A97:B104"/>
    <mergeCell ref="A106:B113"/>
    <mergeCell ref="A129:B137"/>
    <mergeCell ref="A315:B326"/>
    <mergeCell ref="A329:B340"/>
    <mergeCell ref="A139:B146"/>
    <mergeCell ref="A148:B155"/>
    <mergeCell ref="A172:B192"/>
    <mergeCell ref="A236:B248"/>
    <mergeCell ref="A251:B262"/>
    <mergeCell ref="A265:B276"/>
    <mergeCell ref="A300:B312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86"/>
    <col customWidth="1" min="2" max="2" width="19.43"/>
    <col customWidth="1" min="3" max="7" width="14.43"/>
    <col customWidth="1" min="8" max="37" width="7.57"/>
  </cols>
  <sheetData>
    <row r="1">
      <c r="A1" s="8" t="s">
        <v>275</v>
      </c>
      <c r="B1" s="8" t="s">
        <v>276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>
      <c r="A2" s="8" t="s">
        <v>277</v>
      </c>
      <c r="B2" s="9">
        <v>5.0</v>
      </c>
      <c r="C2" s="9">
        <f t="shared" ref="C2:AK2" si="1">B2+5</f>
        <v>10</v>
      </c>
      <c r="D2" s="9">
        <f t="shared" si="1"/>
        <v>15</v>
      </c>
      <c r="E2" s="9">
        <f t="shared" si="1"/>
        <v>20</v>
      </c>
      <c r="F2" s="9">
        <f t="shared" si="1"/>
        <v>25</v>
      </c>
      <c r="G2" s="9">
        <f t="shared" si="1"/>
        <v>30</v>
      </c>
      <c r="H2" s="9">
        <f t="shared" si="1"/>
        <v>35</v>
      </c>
      <c r="I2" s="9">
        <f t="shared" si="1"/>
        <v>40</v>
      </c>
      <c r="J2" s="9">
        <f t="shared" si="1"/>
        <v>45</v>
      </c>
      <c r="K2" s="9">
        <f t="shared" si="1"/>
        <v>50</v>
      </c>
      <c r="L2" s="9">
        <f t="shared" si="1"/>
        <v>55</v>
      </c>
      <c r="M2" s="9">
        <f t="shared" si="1"/>
        <v>60</v>
      </c>
      <c r="N2" s="9">
        <f t="shared" si="1"/>
        <v>65</v>
      </c>
      <c r="O2" s="9">
        <f t="shared" si="1"/>
        <v>70</v>
      </c>
      <c r="P2" s="9">
        <f t="shared" si="1"/>
        <v>75</v>
      </c>
      <c r="Q2" s="9">
        <f t="shared" si="1"/>
        <v>80</v>
      </c>
      <c r="R2" s="9">
        <f t="shared" si="1"/>
        <v>85</v>
      </c>
      <c r="S2" s="9">
        <f t="shared" si="1"/>
        <v>90</v>
      </c>
      <c r="T2" s="9">
        <f t="shared" si="1"/>
        <v>95</v>
      </c>
      <c r="U2" s="9">
        <f t="shared" si="1"/>
        <v>100</v>
      </c>
      <c r="V2" s="9">
        <f t="shared" si="1"/>
        <v>105</v>
      </c>
      <c r="W2" s="9">
        <f t="shared" si="1"/>
        <v>110</v>
      </c>
      <c r="X2" s="9">
        <f t="shared" si="1"/>
        <v>115</v>
      </c>
      <c r="Y2" s="9">
        <f t="shared" si="1"/>
        <v>120</v>
      </c>
      <c r="Z2" s="9">
        <f t="shared" si="1"/>
        <v>125</v>
      </c>
      <c r="AA2" s="9">
        <f t="shared" si="1"/>
        <v>130</v>
      </c>
      <c r="AB2" s="9">
        <f t="shared" si="1"/>
        <v>135</v>
      </c>
      <c r="AC2" s="9">
        <f t="shared" si="1"/>
        <v>140</v>
      </c>
      <c r="AD2" s="9">
        <f t="shared" si="1"/>
        <v>145</v>
      </c>
      <c r="AE2" s="9">
        <f t="shared" si="1"/>
        <v>150</v>
      </c>
      <c r="AF2" s="9">
        <f t="shared" si="1"/>
        <v>155</v>
      </c>
      <c r="AG2" s="9">
        <f t="shared" si="1"/>
        <v>160</v>
      </c>
      <c r="AH2" s="9">
        <f t="shared" si="1"/>
        <v>165</v>
      </c>
      <c r="AI2" s="9">
        <f t="shared" si="1"/>
        <v>170</v>
      </c>
      <c r="AJ2" s="9">
        <f t="shared" si="1"/>
        <v>175</v>
      </c>
      <c r="AK2" s="9">
        <f t="shared" si="1"/>
        <v>180</v>
      </c>
    </row>
    <row r="3">
      <c r="A3" s="9">
        <v>3.2</v>
      </c>
      <c r="B3" s="100">
        <v>0.0803</v>
      </c>
      <c r="C3" s="100">
        <v>0.1255</v>
      </c>
      <c r="D3" s="100">
        <v>0.1636</v>
      </c>
      <c r="E3" s="100">
        <v>0.1779</v>
      </c>
      <c r="F3" s="100">
        <v>0.201</v>
      </c>
      <c r="G3" s="100">
        <v>0.218</v>
      </c>
      <c r="H3" s="100">
        <v>0.2341</v>
      </c>
      <c r="I3" s="100">
        <v>0.2569</v>
      </c>
      <c r="J3" s="100">
        <v>0.2745</v>
      </c>
      <c r="K3" s="100">
        <v>0.2926</v>
      </c>
      <c r="L3" s="100">
        <v>0.3107</v>
      </c>
      <c r="M3" s="100">
        <v>0.3274</v>
      </c>
      <c r="N3" s="100">
        <v>0.3459</v>
      </c>
      <c r="O3" s="100">
        <v>0.3599</v>
      </c>
      <c r="P3" s="100">
        <v>0.3728</v>
      </c>
      <c r="Q3" s="100">
        <v>0.3881</v>
      </c>
      <c r="R3" s="100">
        <v>0.4013</v>
      </c>
      <c r="S3" s="100">
        <v>0.4146</v>
      </c>
      <c r="T3" s="100">
        <v>0.426</v>
      </c>
      <c r="U3" s="100">
        <v>0.4368</v>
      </c>
      <c r="V3" s="100">
        <v>0.4503</v>
      </c>
      <c r="W3" s="100">
        <v>0.4599</v>
      </c>
      <c r="X3" s="100">
        <v>0.4718</v>
      </c>
      <c r="Y3" s="100">
        <v>0.4809</v>
      </c>
      <c r="Z3" s="100">
        <v>0.4898</v>
      </c>
      <c r="AA3" s="100">
        <v>0.4971</v>
      </c>
      <c r="AB3" s="100">
        <v>0.5063</v>
      </c>
      <c r="AC3" s="100">
        <v>0.5093</v>
      </c>
      <c r="AD3" s="100">
        <v>0.5189</v>
      </c>
      <c r="AE3" s="100">
        <v>0.5261</v>
      </c>
      <c r="AF3" s="100">
        <v>0.5285</v>
      </c>
      <c r="AG3" s="100">
        <v>0.5363</v>
      </c>
      <c r="AH3" s="100">
        <v>0.5384</v>
      </c>
      <c r="AI3" s="100">
        <v>0.5392</v>
      </c>
      <c r="AJ3" s="100">
        <v>0.5471</v>
      </c>
      <c r="AK3" s="100">
        <v>0.5482</v>
      </c>
    </row>
    <row r="4">
      <c r="A4" s="9">
        <v>1.6</v>
      </c>
      <c r="B4" s="100">
        <v>0.0636</v>
      </c>
      <c r="C4" s="100">
        <v>0.1043</v>
      </c>
      <c r="D4" s="100">
        <v>0.1264</v>
      </c>
      <c r="E4" s="100">
        <v>0.1506</v>
      </c>
      <c r="F4" s="100">
        <v>0.1615</v>
      </c>
      <c r="G4" s="100">
        <v>0.1849</v>
      </c>
      <c r="H4" s="100">
        <v>0.1927</v>
      </c>
      <c r="I4" s="100">
        <v>0.2073</v>
      </c>
      <c r="J4" s="100">
        <v>0.2217</v>
      </c>
      <c r="K4" s="100">
        <v>0.2345</v>
      </c>
      <c r="L4" s="100">
        <v>0.2398</v>
      </c>
      <c r="M4" s="100">
        <v>0.2528</v>
      </c>
      <c r="N4" s="100">
        <v>0.2556</v>
      </c>
      <c r="O4" s="100">
        <v>0.2612</v>
      </c>
      <c r="P4" s="100">
        <v>0.2664</v>
      </c>
      <c r="Q4" s="100">
        <v>0.2713</v>
      </c>
      <c r="R4" s="100">
        <v>0.2752</v>
      </c>
      <c r="S4" s="100">
        <v>0.2741</v>
      </c>
      <c r="T4" s="100">
        <v>0.276</v>
      </c>
      <c r="U4" s="100">
        <v>0.2781</v>
      </c>
      <c r="V4" s="100">
        <v>0.2801</v>
      </c>
      <c r="W4" s="100">
        <v>0.2821</v>
      </c>
      <c r="X4" s="100">
        <v>0.2819</v>
      </c>
      <c r="Y4" s="100">
        <v>0.2837</v>
      </c>
      <c r="Z4" s="100">
        <v>0.2835</v>
      </c>
      <c r="AA4" s="100">
        <v>0.2845</v>
      </c>
      <c r="AB4" s="100">
        <v>0.2833</v>
      </c>
      <c r="AC4" s="100">
        <v>0.2838</v>
      </c>
      <c r="AD4" s="100">
        <v>0.2839</v>
      </c>
      <c r="AE4" s="100">
        <v>0.2852</v>
      </c>
      <c r="AF4" s="100">
        <v>0.2835</v>
      </c>
      <c r="AG4" s="100">
        <v>0.2848</v>
      </c>
      <c r="AH4" s="100">
        <v>0.2849</v>
      </c>
      <c r="AI4" s="100">
        <v>0.2843</v>
      </c>
      <c r="AJ4" s="100">
        <v>0.2847</v>
      </c>
      <c r="AK4" s="100">
        <v>0.2831</v>
      </c>
    </row>
    <row r="5">
      <c r="A5" s="9">
        <v>0.8</v>
      </c>
      <c r="B5" s="100">
        <v>0.0582</v>
      </c>
      <c r="C5" s="100">
        <v>0.1018</v>
      </c>
      <c r="D5" s="100">
        <v>0.147</v>
      </c>
      <c r="E5" s="100">
        <v>0.1476</v>
      </c>
      <c r="F5" s="100">
        <v>0.1476</v>
      </c>
      <c r="G5" s="100">
        <v>0.1519</v>
      </c>
      <c r="H5" s="100">
        <v>0.1546</v>
      </c>
      <c r="I5" s="100">
        <v>0.1582</v>
      </c>
      <c r="J5" s="100">
        <v>0.1614</v>
      </c>
      <c r="K5" s="100">
        <v>0.1635</v>
      </c>
      <c r="L5" s="100">
        <v>0.165</v>
      </c>
      <c r="M5" s="100">
        <v>0.1652</v>
      </c>
      <c r="N5" s="100">
        <v>0.1656</v>
      </c>
      <c r="O5" s="100">
        <v>0.1655</v>
      </c>
      <c r="P5" s="100">
        <v>0.1663</v>
      </c>
      <c r="Q5" s="100">
        <v>0.1654</v>
      </c>
      <c r="R5" s="100">
        <v>0.1655</v>
      </c>
      <c r="S5" s="100">
        <v>0.165</v>
      </c>
      <c r="T5" s="100">
        <v>0.165</v>
      </c>
      <c r="U5" s="100">
        <v>0.1643</v>
      </c>
      <c r="V5" s="100">
        <v>0.1646</v>
      </c>
      <c r="W5" s="100">
        <v>0.1644</v>
      </c>
      <c r="X5" s="100">
        <v>0.1643</v>
      </c>
      <c r="Y5" s="100">
        <v>0.1642</v>
      </c>
      <c r="Z5" s="100">
        <v>0.1638</v>
      </c>
      <c r="AA5" s="100">
        <v>0.1633</v>
      </c>
      <c r="AB5" s="100">
        <v>0.1631</v>
      </c>
      <c r="AC5" s="100">
        <v>0.1628</v>
      </c>
      <c r="AD5" s="100">
        <v>0.163</v>
      </c>
      <c r="AE5" s="100">
        <v>0.1626</v>
      </c>
      <c r="AF5" s="100">
        <v>0.1624</v>
      </c>
      <c r="AG5" s="100">
        <v>0.1621</v>
      </c>
      <c r="AH5" s="100">
        <v>0.1619</v>
      </c>
      <c r="AI5" s="100">
        <v>0.1618</v>
      </c>
      <c r="AJ5" s="100">
        <v>0.1616</v>
      </c>
      <c r="AK5" s="100">
        <v>0.1616</v>
      </c>
    </row>
    <row r="6">
      <c r="A6" s="9">
        <v>0.4</v>
      </c>
      <c r="B6" s="100">
        <v>0.0584</v>
      </c>
      <c r="C6" s="100">
        <v>0.0904</v>
      </c>
      <c r="D6" s="100">
        <v>0.1002</v>
      </c>
      <c r="E6" s="100">
        <v>0.104</v>
      </c>
      <c r="F6" s="100">
        <v>0.1056</v>
      </c>
      <c r="G6" s="100">
        <v>0.1061</v>
      </c>
      <c r="H6" s="100">
        <v>0.1066</v>
      </c>
      <c r="I6" s="100">
        <v>0.1064</v>
      </c>
      <c r="J6" s="100">
        <v>0.1063</v>
      </c>
      <c r="K6" s="100">
        <v>0.1064</v>
      </c>
      <c r="L6" s="100">
        <v>0.1063</v>
      </c>
      <c r="M6" s="100">
        <v>0.1063</v>
      </c>
      <c r="N6" s="100">
        <v>0.1063</v>
      </c>
      <c r="O6" s="100">
        <v>0.1062</v>
      </c>
      <c r="P6" s="100">
        <v>0.106</v>
      </c>
      <c r="Q6" s="100">
        <v>0.1061</v>
      </c>
      <c r="R6" s="100">
        <v>0.1059</v>
      </c>
      <c r="S6" s="100">
        <v>0.1058</v>
      </c>
      <c r="T6" s="100">
        <v>0.1059</v>
      </c>
      <c r="U6" s="100">
        <v>0.1056</v>
      </c>
      <c r="V6" s="100">
        <v>0.1055</v>
      </c>
      <c r="W6" s="100">
        <v>0.1054</v>
      </c>
      <c r="X6" s="100">
        <v>0.1053</v>
      </c>
      <c r="Y6" s="100">
        <v>0.1054</v>
      </c>
      <c r="Z6" s="100">
        <v>0.1055</v>
      </c>
      <c r="AA6" s="100">
        <v>0.1054</v>
      </c>
      <c r="AB6" s="100">
        <v>0.1053</v>
      </c>
      <c r="AC6" s="100">
        <v>0.1052</v>
      </c>
      <c r="AD6" s="100">
        <v>0.1051</v>
      </c>
      <c r="AE6" s="100">
        <v>0.1053</v>
      </c>
      <c r="AF6" s="100">
        <v>0.105</v>
      </c>
      <c r="AG6" s="100">
        <v>0.1051</v>
      </c>
      <c r="AH6" s="100">
        <v>0.105</v>
      </c>
      <c r="AI6" s="100">
        <v>0.105</v>
      </c>
      <c r="AJ6" s="100">
        <v>0.105</v>
      </c>
      <c r="AK6" s="100">
        <v>0.1048</v>
      </c>
    </row>
    <row r="7">
      <c r="A7" s="9">
        <v>0.2</v>
      </c>
      <c r="B7" s="100">
        <v>0.0568</v>
      </c>
      <c r="C7" s="100">
        <v>0.1049</v>
      </c>
      <c r="D7" s="100">
        <v>0.1022</v>
      </c>
      <c r="E7" s="100">
        <v>0.0985</v>
      </c>
      <c r="F7" s="100">
        <v>0.0895</v>
      </c>
      <c r="G7" s="100">
        <v>0.0894</v>
      </c>
      <c r="H7" s="100">
        <v>0.0843</v>
      </c>
      <c r="I7" s="100">
        <v>0.0814</v>
      </c>
      <c r="J7" s="100">
        <v>0.0813</v>
      </c>
      <c r="K7" s="100">
        <v>0.0814</v>
      </c>
      <c r="L7" s="100">
        <v>0.0813</v>
      </c>
      <c r="M7" s="100">
        <v>0.0813</v>
      </c>
      <c r="N7" s="100">
        <v>0.0808</v>
      </c>
      <c r="O7" s="100">
        <v>0.0806</v>
      </c>
      <c r="P7" s="100">
        <v>0.0806</v>
      </c>
      <c r="Q7" s="100">
        <v>0.0804</v>
      </c>
      <c r="R7" s="100">
        <v>0.0803</v>
      </c>
      <c r="S7" s="100">
        <v>0.0803</v>
      </c>
      <c r="T7" s="100">
        <v>0.0795</v>
      </c>
      <c r="U7" s="100">
        <v>0.0794</v>
      </c>
      <c r="V7" s="100">
        <v>0.0794</v>
      </c>
      <c r="W7" s="100">
        <v>0.0794</v>
      </c>
      <c r="X7" s="100">
        <v>0.0791</v>
      </c>
      <c r="Y7" s="100">
        <v>0.0791</v>
      </c>
      <c r="Z7" s="100">
        <v>0.0792</v>
      </c>
      <c r="AA7" s="100">
        <v>0.0789</v>
      </c>
      <c r="AB7" s="100">
        <v>0.0788</v>
      </c>
      <c r="AC7" s="100">
        <v>0.0789</v>
      </c>
      <c r="AD7" s="100">
        <v>0.0788</v>
      </c>
      <c r="AE7" s="100">
        <v>0.0788</v>
      </c>
      <c r="AF7" s="100">
        <v>0.0788</v>
      </c>
      <c r="AG7" s="100">
        <v>0.0788</v>
      </c>
      <c r="AH7" s="100">
        <v>0.0786</v>
      </c>
      <c r="AI7" s="100">
        <v>0.0787</v>
      </c>
      <c r="AJ7" s="100">
        <v>0.0787</v>
      </c>
      <c r="AK7" s="100">
        <v>0.0788</v>
      </c>
    </row>
    <row r="8">
      <c r="A8" s="9">
        <v>0.1</v>
      </c>
      <c r="B8" s="100">
        <v>0.051</v>
      </c>
      <c r="C8" s="100">
        <v>0.06</v>
      </c>
      <c r="D8" s="100">
        <v>0.0624</v>
      </c>
      <c r="E8" s="100">
        <v>0.0631</v>
      </c>
      <c r="F8" s="100">
        <v>0.0635</v>
      </c>
      <c r="G8" s="100">
        <v>0.0635</v>
      </c>
      <c r="H8" s="100">
        <v>0.0636</v>
      </c>
      <c r="I8" s="100">
        <v>0.0637</v>
      </c>
      <c r="J8" s="100">
        <v>0.0636</v>
      </c>
      <c r="K8" s="100">
        <v>0.0636</v>
      </c>
      <c r="L8" s="100">
        <v>0.0637</v>
      </c>
      <c r="M8" s="100">
        <v>0.0636</v>
      </c>
      <c r="N8" s="100">
        <v>0.0635</v>
      </c>
      <c r="O8" s="100">
        <v>0.0634</v>
      </c>
      <c r="P8" s="100">
        <v>0.0635</v>
      </c>
      <c r="Q8" s="100">
        <v>0.0635</v>
      </c>
      <c r="R8" s="100">
        <v>0.0634</v>
      </c>
      <c r="S8" s="100">
        <v>0.0634</v>
      </c>
      <c r="T8" s="100">
        <v>0.0635</v>
      </c>
      <c r="U8" s="100">
        <v>0.0633</v>
      </c>
      <c r="V8" s="100">
        <v>0.0633</v>
      </c>
      <c r="W8" s="100">
        <v>0.0633</v>
      </c>
      <c r="X8" s="100">
        <v>0.0633</v>
      </c>
      <c r="Y8" s="100">
        <v>0.0633</v>
      </c>
      <c r="Z8" s="100">
        <v>0.0634</v>
      </c>
      <c r="AA8" s="100">
        <v>0.0633</v>
      </c>
      <c r="AB8" s="100">
        <v>0.0632</v>
      </c>
      <c r="AC8" s="100">
        <v>0.0632</v>
      </c>
      <c r="AD8" s="100">
        <v>0.0631</v>
      </c>
      <c r="AE8" s="100">
        <v>0.0631</v>
      </c>
      <c r="AF8" s="100">
        <v>0.0631</v>
      </c>
      <c r="AG8" s="100">
        <v>0.0632</v>
      </c>
      <c r="AH8" s="100">
        <v>0.063</v>
      </c>
      <c r="AI8" s="100">
        <v>0.063</v>
      </c>
      <c r="AJ8" s="100">
        <v>0.0631</v>
      </c>
      <c r="AK8" s="100">
        <v>0.063</v>
      </c>
    </row>
    <row r="9">
      <c r="A9" s="9">
        <v>0.05</v>
      </c>
      <c r="B9" s="100">
        <v>0.0585</v>
      </c>
      <c r="C9" s="100">
        <v>0.0585</v>
      </c>
      <c r="D9" s="100">
        <v>0.0583</v>
      </c>
      <c r="E9" s="100">
        <v>0.0583</v>
      </c>
      <c r="F9" s="100">
        <v>0.0583</v>
      </c>
      <c r="G9" s="100">
        <v>0.0584</v>
      </c>
      <c r="H9" s="100">
        <v>0.0584</v>
      </c>
      <c r="I9" s="100">
        <v>0.0583</v>
      </c>
      <c r="J9" s="100">
        <v>0.0584</v>
      </c>
      <c r="K9" s="100">
        <v>0.0584</v>
      </c>
      <c r="L9" s="100">
        <v>0.0584</v>
      </c>
      <c r="M9" s="100">
        <v>0.0584</v>
      </c>
      <c r="N9" s="100">
        <v>0.0583</v>
      </c>
      <c r="O9" s="100">
        <v>0.0584</v>
      </c>
      <c r="P9" s="100">
        <v>0.0584</v>
      </c>
      <c r="Q9" s="100">
        <v>0.0584</v>
      </c>
      <c r="R9" s="100">
        <v>0.0584</v>
      </c>
      <c r="S9" s="100">
        <v>0.0584</v>
      </c>
      <c r="T9" s="100">
        <v>0.0584</v>
      </c>
      <c r="U9" s="100">
        <v>0.0584</v>
      </c>
      <c r="V9" s="100">
        <v>0.0584</v>
      </c>
      <c r="W9" s="100">
        <v>0.0584</v>
      </c>
      <c r="X9" s="100">
        <v>0.0584</v>
      </c>
      <c r="Y9" s="100">
        <v>0.0584</v>
      </c>
      <c r="Z9" s="100">
        <v>0.0585</v>
      </c>
      <c r="AA9" s="100">
        <v>0.0585</v>
      </c>
      <c r="AB9" s="100">
        <v>0.0584</v>
      </c>
      <c r="AC9" s="100">
        <v>0.0584</v>
      </c>
      <c r="AD9" s="100">
        <v>0.0584</v>
      </c>
      <c r="AE9" s="100">
        <v>0.0584</v>
      </c>
      <c r="AF9" s="100">
        <v>0.0585</v>
      </c>
      <c r="AG9" s="100">
        <v>0.0585</v>
      </c>
      <c r="AH9" s="100">
        <v>0.0584</v>
      </c>
      <c r="AI9" s="100">
        <v>0.0583</v>
      </c>
      <c r="AJ9" s="100">
        <v>0.0584</v>
      </c>
      <c r="AK9" s="100">
        <v>0.0584</v>
      </c>
    </row>
    <row r="10">
      <c r="A10" s="9">
        <v>0.025</v>
      </c>
      <c r="B10" s="100">
        <v>0.0593</v>
      </c>
      <c r="C10" s="100">
        <v>0.0592</v>
      </c>
      <c r="D10" s="100">
        <v>0.0591</v>
      </c>
      <c r="E10" s="100">
        <v>0.0592</v>
      </c>
      <c r="F10" s="100">
        <v>0.0592</v>
      </c>
      <c r="G10" s="100">
        <v>0.0592</v>
      </c>
      <c r="H10" s="100">
        <v>0.0592</v>
      </c>
      <c r="I10" s="100">
        <v>0.0592</v>
      </c>
      <c r="J10" s="100">
        <v>0.0592</v>
      </c>
      <c r="K10" s="100">
        <v>0.0592</v>
      </c>
      <c r="L10" s="100">
        <v>0.0593</v>
      </c>
      <c r="M10" s="100">
        <v>0.0592</v>
      </c>
      <c r="N10" s="100">
        <v>0.0591</v>
      </c>
      <c r="O10" s="100">
        <v>0.0593</v>
      </c>
      <c r="P10" s="100">
        <v>0.0592</v>
      </c>
      <c r="Q10" s="100">
        <v>0.0594</v>
      </c>
      <c r="R10" s="100">
        <v>0.0593</v>
      </c>
      <c r="S10" s="100">
        <v>0.0592</v>
      </c>
      <c r="T10" s="100">
        <v>0.0593</v>
      </c>
      <c r="U10" s="100">
        <v>0.0593</v>
      </c>
      <c r="V10" s="100">
        <v>0.0592</v>
      </c>
      <c r="W10" s="100">
        <v>0.0592</v>
      </c>
      <c r="X10" s="100">
        <v>0.0592</v>
      </c>
      <c r="Y10" s="100">
        <v>0.0593</v>
      </c>
      <c r="Z10" s="100">
        <v>0.0593</v>
      </c>
      <c r="AA10" s="100">
        <v>0.0593</v>
      </c>
      <c r="AB10" s="100">
        <v>0.0592</v>
      </c>
      <c r="AC10" s="100">
        <v>0.0592</v>
      </c>
      <c r="AD10" s="100">
        <v>0.0592</v>
      </c>
      <c r="AE10" s="100">
        <v>0.0593</v>
      </c>
      <c r="AF10" s="100">
        <v>0.0593</v>
      </c>
      <c r="AG10" s="100">
        <v>0.0593</v>
      </c>
      <c r="AH10" s="100">
        <v>0.0592</v>
      </c>
      <c r="AI10" s="100">
        <v>0.0592</v>
      </c>
      <c r="AJ10" s="100">
        <v>0.0593</v>
      </c>
      <c r="AK10" s="100">
        <v>0.0593</v>
      </c>
    </row>
    <row r="1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>
      <c r="A13" s="8"/>
      <c r="B13" s="8" t="s">
        <v>276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>
      <c r="A14" s="101" t="s">
        <v>277</v>
      </c>
      <c r="B14" s="102">
        <v>0.0</v>
      </c>
      <c r="C14" s="102">
        <v>2.0</v>
      </c>
      <c r="D14" s="102">
        <v>4.0</v>
      </c>
      <c r="E14" s="102">
        <v>6.0</v>
      </c>
      <c r="F14" s="102">
        <v>8.0</v>
      </c>
      <c r="G14" s="102">
        <v>10.0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>
      <c r="A15" s="102">
        <v>3.2</v>
      </c>
      <c r="B15" s="102">
        <v>0.1370999962091446</v>
      </c>
      <c r="C15" s="102">
        <v>0.15620000660419464</v>
      </c>
      <c r="D15" s="102">
        <v>0.16990000009536743</v>
      </c>
      <c r="E15" s="102">
        <v>0.18080000579357147</v>
      </c>
      <c r="F15" s="102">
        <v>0.18940000236034393</v>
      </c>
      <c r="G15" s="102">
        <v>0.19539999961853027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>
      <c r="A16" s="102">
        <f t="shared" ref="A16:A21" si="2">A15/2</f>
        <v>1.6</v>
      </c>
      <c r="B16" s="102">
        <v>0.1152999997138977</v>
      </c>
      <c r="C16" s="102">
        <v>0.13189999759197235</v>
      </c>
      <c r="D16" s="102">
        <v>0.15070000290870667</v>
      </c>
      <c r="E16" s="102">
        <v>0.15459999442100525</v>
      </c>
      <c r="F16" s="102">
        <v>0.15880000591278076</v>
      </c>
      <c r="G16" s="102">
        <v>0.16689999401569366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>
      <c r="A17" s="102">
        <f t="shared" si="2"/>
        <v>0.8</v>
      </c>
      <c r="B17" s="102">
        <v>0.1088000014424324</v>
      </c>
      <c r="C17" s="102">
        <v>0.12110000103712082</v>
      </c>
      <c r="D17" s="102">
        <v>0.13109999895095825</v>
      </c>
      <c r="E17" s="102">
        <v>0.14149999618530273</v>
      </c>
      <c r="F17" s="102">
        <v>0.14509999752044678</v>
      </c>
      <c r="G17" s="102">
        <v>0.14890000224113464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>
      <c r="A18" s="102">
        <f t="shared" si="2"/>
        <v>0.4</v>
      </c>
      <c r="B18" s="102">
        <v>0.10790000110864639</v>
      </c>
      <c r="C18" s="102">
        <v>0.11699999868869781</v>
      </c>
      <c r="D18" s="102">
        <v>0.13420000672340393</v>
      </c>
      <c r="E18" s="102">
        <v>0.1348000019788742</v>
      </c>
      <c r="F18" s="102">
        <v>0.13729999959468842</v>
      </c>
      <c r="G18" s="102">
        <v>0.13930000364780426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>
      <c r="A19" s="102">
        <f t="shared" si="2"/>
        <v>0.2</v>
      </c>
      <c r="B19" s="102">
        <v>0.10209999978542328</v>
      </c>
      <c r="C19" s="102">
        <v>0.10750000178813934</v>
      </c>
      <c r="D19" s="102">
        <v>0.11110000312328339</v>
      </c>
      <c r="E19" s="102">
        <v>0.11469999700784683</v>
      </c>
      <c r="F19" s="102">
        <v>0.121799997985363</v>
      </c>
      <c r="G19" s="102">
        <v>0.1348000019788742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>
      <c r="A20" s="102">
        <f t="shared" si="2"/>
        <v>0.1</v>
      </c>
      <c r="B20" s="102">
        <v>0.10760000348091125</v>
      </c>
      <c r="C20" s="102">
        <v>0.12250000238418579</v>
      </c>
      <c r="D20" s="102">
        <v>0.12439999729394913</v>
      </c>
      <c r="E20" s="102">
        <v>0.12430000305175781</v>
      </c>
      <c r="F20" s="102">
        <v>0.125900000333786</v>
      </c>
      <c r="G20" s="102">
        <v>0.12759999930858612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>
      <c r="A21" s="102">
        <f t="shared" si="2"/>
        <v>0.05</v>
      </c>
      <c r="B21" s="102">
        <v>0.12290000170469284</v>
      </c>
      <c r="C21" s="102">
        <v>0.13459999859333038</v>
      </c>
      <c r="D21" s="102">
        <v>0.13650000095367432</v>
      </c>
      <c r="E21" s="102">
        <v>0.13779999315738678</v>
      </c>
      <c r="F21" s="102">
        <v>0.13830000162124634</v>
      </c>
      <c r="G21" s="102">
        <v>0.1404999941587448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>
      <c r="A24" s="102">
        <v>3.2</v>
      </c>
      <c r="B24" s="102">
        <v>0.12720000743865967</v>
      </c>
      <c r="C24" s="102">
        <v>0.14579999446868896</v>
      </c>
      <c r="D24" s="102">
        <v>0.16060000658035278</v>
      </c>
      <c r="E24" s="102">
        <v>0.1696999967098236</v>
      </c>
      <c r="F24" s="102">
        <v>0.1776999980211258</v>
      </c>
      <c r="G24" s="102">
        <v>0.1835000067949295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>
      <c r="A25" s="102">
        <f t="shared" ref="A25:A30" si="3">A24/2</f>
        <v>1.6</v>
      </c>
      <c r="B25" s="102">
        <v>0.10989999771118164</v>
      </c>
      <c r="C25" s="102">
        <v>0.13599999666214</v>
      </c>
      <c r="D25" s="102">
        <v>0.12600000202655792</v>
      </c>
      <c r="E25" s="102">
        <v>0.14069999754428864</v>
      </c>
      <c r="F25" s="102">
        <v>0.14920000731945038</v>
      </c>
      <c r="G25" s="102">
        <v>0.1550000011920929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>
      <c r="A26" s="102">
        <f t="shared" si="3"/>
        <v>0.8</v>
      </c>
      <c r="B26" s="102">
        <v>0.12240000069141388</v>
      </c>
      <c r="C26" s="102">
        <v>0.13830000162124634</v>
      </c>
      <c r="D26" s="102">
        <v>0.14720000326633453</v>
      </c>
      <c r="E26" s="102">
        <v>0.15330000221729279</v>
      </c>
      <c r="F26" s="102">
        <v>0.1581999957561493</v>
      </c>
      <c r="G26" s="102">
        <v>0.16329999268054962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>
      <c r="A27" s="102">
        <f t="shared" si="3"/>
        <v>0.4</v>
      </c>
      <c r="B27" s="102">
        <v>0.10639999806880951</v>
      </c>
      <c r="C27" s="102">
        <v>0.10999999940395355</v>
      </c>
      <c r="D27" s="102">
        <v>0.11379999667406082</v>
      </c>
      <c r="E27" s="102">
        <v>0.1200999990105629</v>
      </c>
      <c r="F27" s="102">
        <v>0.13429999351501465</v>
      </c>
      <c r="G27" s="102">
        <v>0.13680000603199005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>
      <c r="A28" s="102">
        <f t="shared" si="3"/>
        <v>0.2</v>
      </c>
      <c r="B28" s="102">
        <v>0.12030000239610672</v>
      </c>
      <c r="C28" s="102">
        <v>0.13249999284744263</v>
      </c>
      <c r="D28" s="102">
        <v>0.13740000128746033</v>
      </c>
      <c r="E28" s="102">
        <v>0.14090000092983246</v>
      </c>
      <c r="F28" s="102">
        <v>0.14419999718666077</v>
      </c>
      <c r="G28" s="102">
        <v>0.14650000631809235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>
      <c r="A29" s="102">
        <f t="shared" si="3"/>
        <v>0.1</v>
      </c>
      <c r="B29" s="102">
        <v>0.11159999668598175</v>
      </c>
      <c r="C29" s="102">
        <v>0.11819999665021896</v>
      </c>
      <c r="D29" s="102">
        <v>0.12839999794960022</v>
      </c>
      <c r="E29" s="102">
        <v>0.1347000002861023</v>
      </c>
      <c r="F29" s="102">
        <v>0.14149999618530273</v>
      </c>
      <c r="G29" s="102">
        <v>0.1404999941587448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>
      <c r="A30" s="102">
        <f t="shared" si="3"/>
        <v>0.05</v>
      </c>
      <c r="B30" s="102">
        <v>0.10679999738931656</v>
      </c>
      <c r="C30" s="102">
        <v>0.13279999792575836</v>
      </c>
      <c r="D30" s="102">
        <v>0.14259999990463257</v>
      </c>
      <c r="E30" s="102">
        <v>0.14399999380111694</v>
      </c>
      <c r="F30" s="102">
        <v>0.1453000009059906</v>
      </c>
      <c r="G30" s="102">
        <v>0.1446000039577484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>
      <c r="A33" s="102">
        <v>3.2</v>
      </c>
      <c r="B33" s="102">
        <v>0.12680000066757202</v>
      </c>
      <c r="C33" s="102">
        <v>0.1436000019311905</v>
      </c>
      <c r="D33" s="102">
        <v>0.15889999270439148</v>
      </c>
      <c r="E33" s="102">
        <v>0.16940000653266907</v>
      </c>
      <c r="F33" s="102">
        <v>0.1777999997138977</v>
      </c>
      <c r="G33" s="102">
        <v>0.18400000035762787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>
      <c r="A34" s="102">
        <f t="shared" ref="A34:A39" si="4">A33/2</f>
        <v>1.6</v>
      </c>
      <c r="B34" s="102">
        <v>0.11379999667406082</v>
      </c>
      <c r="C34" s="102">
        <v>0.130300002396107</v>
      </c>
      <c r="D34" s="102">
        <v>0.13269999623298645</v>
      </c>
      <c r="E34" s="102">
        <v>0.14820000529289246</v>
      </c>
      <c r="F34" s="102">
        <v>0.15230000019073486</v>
      </c>
      <c r="G34" s="102">
        <v>0.156700000166893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>
      <c r="A35" s="102">
        <f t="shared" si="4"/>
        <v>0.8</v>
      </c>
      <c r="B35" s="102">
        <v>0.11180000007152557</v>
      </c>
      <c r="C35" s="102">
        <v>0.12460000067949295</v>
      </c>
      <c r="D35" s="102">
        <v>0.13539999723434448</v>
      </c>
      <c r="E35" s="102">
        <v>0.1387999951839447</v>
      </c>
      <c r="F35" s="102">
        <v>0.14239999651908875</v>
      </c>
      <c r="G35" s="102">
        <v>0.14589999616146088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>
      <c r="A36" s="102">
        <f t="shared" si="4"/>
        <v>0.4</v>
      </c>
      <c r="B36" s="102">
        <v>0.10750000178813934</v>
      </c>
      <c r="C36" s="102">
        <v>0.11810000240802765</v>
      </c>
      <c r="D36" s="102">
        <v>0.13050000369548798</v>
      </c>
      <c r="E36" s="102">
        <v>0.13590000569820404</v>
      </c>
      <c r="F36" s="102">
        <v>0.1412000060081482</v>
      </c>
      <c r="G36" s="102">
        <v>0.14270000159740448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>
      <c r="A37" s="102">
        <f t="shared" si="4"/>
        <v>0.2</v>
      </c>
      <c r="B37" s="102">
        <v>0.12290000170469284</v>
      </c>
      <c r="C37" s="102">
        <v>0.13500000536441803</v>
      </c>
      <c r="D37" s="102">
        <v>0.13770000636577606</v>
      </c>
      <c r="E37" s="102">
        <v>0.13940000534057617</v>
      </c>
      <c r="F37" s="102">
        <v>0.14249999821186066</v>
      </c>
      <c r="G37" s="102">
        <v>0.14300000667572021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>
      <c r="A38" s="102">
        <f t="shared" si="4"/>
        <v>0.1</v>
      </c>
      <c r="B38" s="102">
        <v>0.1071000024676323</v>
      </c>
      <c r="C38" s="102">
        <v>0.1185000017285347</v>
      </c>
      <c r="D38" s="102">
        <v>0.12290000170469284</v>
      </c>
      <c r="E38" s="102">
        <v>0.12700000405311584</v>
      </c>
      <c r="F38" s="102">
        <v>0.13199999928474426</v>
      </c>
      <c r="G38" s="102">
        <v>0.12939999997615814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>
      <c r="A39" s="102">
        <f t="shared" si="4"/>
        <v>0.05</v>
      </c>
      <c r="B39" s="102">
        <v>0.11429999768733978</v>
      </c>
      <c r="C39" s="102">
        <v>0.1251000016927719</v>
      </c>
      <c r="D39" s="102">
        <v>0.13300000131130219</v>
      </c>
      <c r="E39" s="102">
        <v>0.13410000503063202</v>
      </c>
      <c r="F39" s="102">
        <v>0.13500000536441803</v>
      </c>
      <c r="G39" s="102">
        <v>0.13689999282360077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>
      <c r="A44" s="8"/>
      <c r="B44" s="8"/>
      <c r="C44" s="8" t="s">
        <v>88</v>
      </c>
      <c r="D44" s="8" t="s">
        <v>278</v>
      </c>
      <c r="E44" s="8" t="s">
        <v>279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>
      <c r="A45" s="8"/>
      <c r="B45" s="67" t="s">
        <v>280</v>
      </c>
      <c r="C45" s="9">
        <v>3.2</v>
      </c>
      <c r="D45" s="9">
        <v>0.28510974</v>
      </c>
      <c r="E45" s="9">
        <v>0.00317257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>
      <c r="A46" s="8"/>
      <c r="B46" s="8"/>
      <c r="C46" s="9">
        <v>1.6</v>
      </c>
      <c r="D46" s="9">
        <v>0.25478163</v>
      </c>
      <c r="E46" s="9">
        <v>0.00138591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>
      <c r="A47" s="8"/>
      <c r="B47" s="8"/>
      <c r="C47" s="9">
        <v>0.8</v>
      </c>
      <c r="D47" s="9">
        <v>0.245696</v>
      </c>
      <c r="E47" s="9">
        <v>0.00428512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>
      <c r="A48" s="8"/>
      <c r="B48" s="8"/>
      <c r="C48" s="9">
        <v>0.4</v>
      </c>
      <c r="D48" s="9">
        <v>0.22080648</v>
      </c>
      <c r="E48" s="9">
        <v>0.00207114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>
      <c r="A49" s="8"/>
      <c r="B49" s="8"/>
      <c r="C49" s="9">
        <v>0.1563</v>
      </c>
      <c r="D49" s="9">
        <v>0.16170333</v>
      </c>
      <c r="E49" s="9">
        <f>D49*3.839</f>
        <v>0.6207790839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>
      <c r="A55" s="8"/>
      <c r="B55" s="103" t="s">
        <v>272</v>
      </c>
      <c r="C55" s="104">
        <v>0.284131269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>
      <c r="A56" s="8"/>
      <c r="B56" s="103" t="s">
        <v>271</v>
      </c>
      <c r="C56" s="104">
        <v>0.118369087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>
      <c r="A57" s="8"/>
      <c r="B57" s="105" t="s">
        <v>265</v>
      </c>
      <c r="C57" s="106">
        <v>0.14207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6.0"/>
    <col customWidth="1" min="2" max="2" width="14.43"/>
    <col customWidth="1" min="3" max="3" width="17.57"/>
    <col customWidth="1" min="4" max="5" width="16.43"/>
    <col customWidth="1" min="6" max="7" width="14.43"/>
    <col customWidth="1" min="8" max="38" width="7.0"/>
  </cols>
  <sheetData>
    <row r="1">
      <c r="A1" s="8" t="s">
        <v>281</v>
      </c>
      <c r="B1" s="8"/>
      <c r="C1" s="8" t="s">
        <v>276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>
      <c r="A2" s="8" t="s">
        <v>277</v>
      </c>
      <c r="B2" s="9">
        <v>0.0</v>
      </c>
      <c r="C2" s="9">
        <v>5.0</v>
      </c>
      <c r="D2" s="9">
        <f t="shared" ref="D2:AL2" si="1">C2+5</f>
        <v>10</v>
      </c>
      <c r="E2" s="9">
        <f t="shared" si="1"/>
        <v>15</v>
      </c>
      <c r="F2" s="9">
        <f t="shared" si="1"/>
        <v>20</v>
      </c>
      <c r="G2" s="9">
        <f t="shared" si="1"/>
        <v>25</v>
      </c>
      <c r="H2" s="9">
        <f t="shared" si="1"/>
        <v>30</v>
      </c>
      <c r="I2" s="9">
        <f t="shared" si="1"/>
        <v>35</v>
      </c>
      <c r="J2" s="9">
        <f t="shared" si="1"/>
        <v>40</v>
      </c>
      <c r="K2" s="9">
        <f t="shared" si="1"/>
        <v>45</v>
      </c>
      <c r="L2" s="9">
        <f t="shared" si="1"/>
        <v>50</v>
      </c>
      <c r="M2" s="9">
        <f t="shared" si="1"/>
        <v>55</v>
      </c>
      <c r="N2" s="9">
        <f t="shared" si="1"/>
        <v>60</v>
      </c>
      <c r="O2" s="9">
        <f t="shared" si="1"/>
        <v>65</v>
      </c>
      <c r="P2" s="9">
        <f t="shared" si="1"/>
        <v>70</v>
      </c>
      <c r="Q2" s="9">
        <f t="shared" si="1"/>
        <v>75</v>
      </c>
      <c r="R2" s="9">
        <f t="shared" si="1"/>
        <v>80</v>
      </c>
      <c r="S2" s="9">
        <f t="shared" si="1"/>
        <v>85</v>
      </c>
      <c r="T2" s="9">
        <f t="shared" si="1"/>
        <v>90</v>
      </c>
      <c r="U2" s="9">
        <f t="shared" si="1"/>
        <v>95</v>
      </c>
      <c r="V2" s="9">
        <f t="shared" si="1"/>
        <v>100</v>
      </c>
      <c r="W2" s="9">
        <f t="shared" si="1"/>
        <v>105</v>
      </c>
      <c r="X2" s="9">
        <f t="shared" si="1"/>
        <v>110</v>
      </c>
      <c r="Y2" s="9">
        <f t="shared" si="1"/>
        <v>115</v>
      </c>
      <c r="Z2" s="9">
        <f t="shared" si="1"/>
        <v>120</v>
      </c>
      <c r="AA2" s="9">
        <f t="shared" si="1"/>
        <v>125</v>
      </c>
      <c r="AB2" s="9">
        <f t="shared" si="1"/>
        <v>130</v>
      </c>
      <c r="AC2" s="9">
        <f t="shared" si="1"/>
        <v>135</v>
      </c>
      <c r="AD2" s="9">
        <f t="shared" si="1"/>
        <v>140</v>
      </c>
      <c r="AE2" s="9">
        <f t="shared" si="1"/>
        <v>145</v>
      </c>
      <c r="AF2" s="9">
        <f t="shared" si="1"/>
        <v>150</v>
      </c>
      <c r="AG2" s="9">
        <f t="shared" si="1"/>
        <v>155</v>
      </c>
      <c r="AH2" s="9">
        <f t="shared" si="1"/>
        <v>160</v>
      </c>
      <c r="AI2" s="9">
        <f t="shared" si="1"/>
        <v>165</v>
      </c>
      <c r="AJ2" s="9">
        <f t="shared" si="1"/>
        <v>170</v>
      </c>
      <c r="AK2" s="9">
        <f t="shared" si="1"/>
        <v>175</v>
      </c>
      <c r="AL2" s="9">
        <f t="shared" si="1"/>
        <v>180</v>
      </c>
    </row>
    <row r="3">
      <c r="A3" s="107">
        <v>5.0</v>
      </c>
      <c r="B3" s="75">
        <v>0.0</v>
      </c>
      <c r="C3" s="75">
        <v>0.1806</v>
      </c>
      <c r="D3" s="75">
        <v>0.6711</v>
      </c>
      <c r="E3" s="75">
        <v>1.2529</v>
      </c>
      <c r="F3" s="75">
        <v>1.8939</v>
      </c>
      <c r="G3" s="75">
        <v>2.4774</v>
      </c>
      <c r="H3" s="75">
        <v>2.8592</v>
      </c>
      <c r="I3" s="75">
        <v>3.0724</v>
      </c>
      <c r="J3" s="75">
        <v>3.1439</v>
      </c>
      <c r="K3" s="75">
        <v>3.183</v>
      </c>
      <c r="L3" s="75">
        <v>3.2271</v>
      </c>
      <c r="M3" s="75">
        <v>3.254</v>
      </c>
      <c r="N3" s="75">
        <v>3.2522</v>
      </c>
      <c r="O3" s="75">
        <v>3.2678</v>
      </c>
      <c r="P3" s="75">
        <v>3.2748</v>
      </c>
      <c r="Q3" s="75">
        <v>3.2748</v>
      </c>
      <c r="R3" s="75">
        <v>3.2842</v>
      </c>
      <c r="S3" s="75">
        <v>3.2716</v>
      </c>
      <c r="T3" s="75">
        <v>3.2851</v>
      </c>
      <c r="U3" s="75">
        <v>3.28</v>
      </c>
      <c r="V3" s="75">
        <v>3.3178</v>
      </c>
      <c r="W3" s="75">
        <v>3.3153</v>
      </c>
      <c r="X3" s="75">
        <v>3.2775</v>
      </c>
      <c r="Y3" s="75">
        <v>3.2772</v>
      </c>
      <c r="Z3" s="75">
        <v>3.2956</v>
      </c>
      <c r="AA3" s="75">
        <v>3.3088</v>
      </c>
      <c r="AB3" s="75">
        <v>3.3002</v>
      </c>
      <c r="AC3" s="75">
        <v>3.2906</v>
      </c>
      <c r="AD3" s="75">
        <v>3.2937</v>
      </c>
      <c r="AE3" s="75">
        <v>3.3032</v>
      </c>
      <c r="AF3" s="75">
        <v>3.2919</v>
      </c>
      <c r="AG3" s="75">
        <v>3.2972</v>
      </c>
      <c r="AH3" s="75">
        <v>3.3573</v>
      </c>
      <c r="AI3" s="75">
        <v>3.2706</v>
      </c>
      <c r="AJ3" s="75">
        <v>3.345</v>
      </c>
      <c r="AK3" s="75">
        <v>3.2998</v>
      </c>
      <c r="AL3" s="75">
        <v>3.2899</v>
      </c>
    </row>
    <row r="4">
      <c r="A4" s="107">
        <v>2.5</v>
      </c>
      <c r="B4" s="75">
        <v>0.0</v>
      </c>
      <c r="C4" s="75">
        <v>0.1</v>
      </c>
      <c r="D4" s="108">
        <v>0.4189</v>
      </c>
      <c r="E4" s="75">
        <v>0.7905</v>
      </c>
      <c r="F4" s="75">
        <v>1.1781</v>
      </c>
      <c r="G4" s="75">
        <v>1.5697</v>
      </c>
      <c r="H4" s="75">
        <v>1.9168</v>
      </c>
      <c r="I4" s="75">
        <v>2.1574</v>
      </c>
      <c r="J4" s="75">
        <v>2.3225</v>
      </c>
      <c r="K4" s="75">
        <v>2.4189</v>
      </c>
      <c r="L4" s="75">
        <v>2.5076</v>
      </c>
      <c r="M4" s="75">
        <v>2.6955</v>
      </c>
      <c r="N4" s="75">
        <v>2.7845</v>
      </c>
      <c r="O4" s="75">
        <v>2.8647</v>
      </c>
      <c r="P4" s="75">
        <v>2.9139</v>
      </c>
      <c r="Q4" s="75">
        <v>2.9417</v>
      </c>
      <c r="R4" s="75">
        <v>2.9683</v>
      </c>
      <c r="S4" s="75">
        <v>2.9789</v>
      </c>
      <c r="T4" s="75">
        <v>3.0027</v>
      </c>
      <c r="U4" s="75">
        <v>2.9937</v>
      </c>
      <c r="V4" s="75">
        <v>3.0023</v>
      </c>
      <c r="W4" s="75">
        <v>3.0057</v>
      </c>
      <c r="X4" s="75">
        <v>3.0435</v>
      </c>
      <c r="Y4" s="75">
        <v>2.989</v>
      </c>
      <c r="Z4" s="75">
        <v>2.9937</v>
      </c>
      <c r="AA4" s="75">
        <v>3.0044</v>
      </c>
      <c r="AB4" s="75">
        <v>3.0002</v>
      </c>
      <c r="AC4" s="75">
        <v>2.9897</v>
      </c>
      <c r="AD4" s="75">
        <v>2.9909</v>
      </c>
      <c r="AE4" s="75">
        <v>2.9982</v>
      </c>
      <c r="AF4" s="75">
        <v>2.9887</v>
      </c>
      <c r="AG4" s="75">
        <v>2.992</v>
      </c>
      <c r="AH4" s="75">
        <v>3.0161</v>
      </c>
      <c r="AI4" s="75">
        <v>3.0207</v>
      </c>
      <c r="AJ4" s="75">
        <v>2.9974</v>
      </c>
      <c r="AK4" s="75">
        <v>2.9841</v>
      </c>
      <c r="AL4" s="75">
        <v>2.9781</v>
      </c>
    </row>
    <row r="5">
      <c r="A5" s="9">
        <v>1.25</v>
      </c>
      <c r="B5" s="75">
        <v>0.0</v>
      </c>
      <c r="C5" s="75">
        <v>0.0547</v>
      </c>
      <c r="D5" s="75">
        <v>0.0636</v>
      </c>
      <c r="E5" s="75">
        <v>0.0714</v>
      </c>
      <c r="F5" s="75">
        <v>0.0808</v>
      </c>
      <c r="G5" s="75">
        <v>0.0897</v>
      </c>
      <c r="H5" s="75">
        <v>0.098</v>
      </c>
      <c r="I5" s="75">
        <v>0.1069</v>
      </c>
      <c r="J5" s="75">
        <v>0.1146</v>
      </c>
      <c r="K5" s="75">
        <v>0.1228</v>
      </c>
      <c r="L5" s="75">
        <v>0.1313</v>
      </c>
      <c r="M5" s="75">
        <v>0.14</v>
      </c>
      <c r="N5" s="75">
        <v>0.1482</v>
      </c>
      <c r="O5" s="75">
        <v>0.1556</v>
      </c>
      <c r="P5" s="75">
        <v>0.1636</v>
      </c>
      <c r="Q5" s="75">
        <v>0.1715</v>
      </c>
      <c r="R5" s="75">
        <v>0.1781</v>
      </c>
      <c r="S5" s="75">
        <v>0.1853</v>
      </c>
      <c r="T5" s="75">
        <v>0.1923</v>
      </c>
      <c r="U5" s="75">
        <v>0.1993</v>
      </c>
      <c r="V5" s="75">
        <v>0.2063</v>
      </c>
      <c r="W5" s="75">
        <v>0.2137</v>
      </c>
      <c r="X5" s="75">
        <v>0.2198</v>
      </c>
      <c r="Y5" s="75">
        <v>0.226</v>
      </c>
      <c r="Z5" s="75">
        <v>0.2327</v>
      </c>
      <c r="AA5" s="75">
        <v>0.2406</v>
      </c>
      <c r="AB5" s="75">
        <v>0.2459</v>
      </c>
      <c r="AC5" s="75">
        <v>0.2509</v>
      </c>
      <c r="AD5" s="75">
        <v>0.2579</v>
      </c>
      <c r="AE5" s="75">
        <v>0.2641</v>
      </c>
      <c r="AF5" s="75">
        <v>0.2697</v>
      </c>
      <c r="AG5" s="75">
        <v>0.2761</v>
      </c>
      <c r="AH5" s="75">
        <v>0.2815</v>
      </c>
      <c r="AI5" s="75">
        <v>0.2865</v>
      </c>
      <c r="AJ5" s="75">
        <v>0.2915</v>
      </c>
      <c r="AK5" s="75">
        <v>0.2961</v>
      </c>
      <c r="AL5" s="75">
        <v>0.3006</v>
      </c>
    </row>
    <row r="6">
      <c r="A6" s="9">
        <v>0.625</v>
      </c>
      <c r="B6" s="75">
        <v>0.0</v>
      </c>
      <c r="C6" s="75">
        <v>0.0514</v>
      </c>
      <c r="D6" s="75">
        <v>0.0591</v>
      </c>
      <c r="E6" s="75">
        <v>0.0742</v>
      </c>
      <c r="F6" s="75">
        <v>0.075</v>
      </c>
      <c r="G6" s="75">
        <v>0.0823</v>
      </c>
      <c r="H6" s="75">
        <v>0.0898</v>
      </c>
      <c r="I6" s="75">
        <v>0.0972</v>
      </c>
      <c r="J6" s="75">
        <v>0.1046</v>
      </c>
      <c r="K6" s="75">
        <v>0.1112</v>
      </c>
      <c r="L6" s="75">
        <v>0.1183</v>
      </c>
      <c r="M6" s="75">
        <v>0.1245</v>
      </c>
      <c r="N6" s="75">
        <v>0.1298</v>
      </c>
      <c r="O6" s="75">
        <v>0.1355</v>
      </c>
      <c r="P6" s="75">
        <v>0.14</v>
      </c>
      <c r="Q6" s="75">
        <v>0.1471</v>
      </c>
      <c r="R6" s="75">
        <v>0.1548</v>
      </c>
      <c r="S6" s="75">
        <v>0.1613</v>
      </c>
      <c r="T6" s="75">
        <v>0.1645</v>
      </c>
      <c r="U6" s="75">
        <v>0.1679</v>
      </c>
      <c r="V6" s="75">
        <v>0.175</v>
      </c>
      <c r="W6" s="75">
        <v>0.179</v>
      </c>
      <c r="X6" s="75">
        <v>0.1817</v>
      </c>
      <c r="Y6" s="75">
        <v>0.1854</v>
      </c>
      <c r="Z6" s="75">
        <v>0.1854</v>
      </c>
      <c r="AA6" s="75">
        <v>0.1854</v>
      </c>
      <c r="AB6" s="75">
        <v>0.1875</v>
      </c>
      <c r="AC6" s="75">
        <v>0.1906</v>
      </c>
      <c r="AD6" s="75">
        <v>0.1922</v>
      </c>
      <c r="AE6" s="75">
        <v>0.1947</v>
      </c>
      <c r="AF6" s="75">
        <v>0.1959</v>
      </c>
      <c r="AG6" s="75">
        <v>0.1978</v>
      </c>
      <c r="AH6" s="75">
        <v>0.1975</v>
      </c>
      <c r="AI6" s="75">
        <v>0.1994</v>
      </c>
      <c r="AJ6" s="75">
        <v>0.2012</v>
      </c>
      <c r="AK6" s="75">
        <v>0.2025</v>
      </c>
      <c r="AL6" s="75">
        <v>0.2027</v>
      </c>
    </row>
    <row r="7">
      <c r="A7" s="9">
        <v>0.3125</v>
      </c>
      <c r="B7" s="75">
        <v>0.0</v>
      </c>
      <c r="C7" s="75">
        <v>0.0516</v>
      </c>
      <c r="D7" s="75">
        <v>0.0586</v>
      </c>
      <c r="E7" s="75">
        <v>0.0675</v>
      </c>
      <c r="F7" s="75">
        <v>0.0749</v>
      </c>
      <c r="G7" s="75">
        <v>0.0823</v>
      </c>
      <c r="H7" s="75">
        <v>0.089</v>
      </c>
      <c r="I7" s="75">
        <v>0.0954</v>
      </c>
      <c r="J7" s="75">
        <v>0.1012</v>
      </c>
      <c r="K7" s="75">
        <v>0.1065</v>
      </c>
      <c r="L7" s="75">
        <v>0.1106</v>
      </c>
      <c r="M7" s="75">
        <v>0.1155</v>
      </c>
      <c r="N7" s="75">
        <v>0.1186</v>
      </c>
      <c r="O7" s="75">
        <v>0.1212</v>
      </c>
      <c r="P7" s="75">
        <v>0.1238</v>
      </c>
      <c r="Q7" s="75">
        <v>0.1257</v>
      </c>
      <c r="R7" s="75">
        <v>0.1277</v>
      </c>
      <c r="S7" s="75">
        <v>0.1284</v>
      </c>
      <c r="T7" s="75">
        <v>0.1292</v>
      </c>
      <c r="U7" s="75">
        <v>0.1307</v>
      </c>
      <c r="V7" s="75">
        <v>0.1301</v>
      </c>
      <c r="W7" s="75">
        <v>0.1305</v>
      </c>
      <c r="X7" s="75">
        <v>0.1309</v>
      </c>
      <c r="Y7" s="75">
        <v>0.1313</v>
      </c>
      <c r="Z7" s="75">
        <v>0.132</v>
      </c>
      <c r="AA7" s="75">
        <v>0.1327</v>
      </c>
      <c r="AB7" s="75">
        <v>0.1329</v>
      </c>
      <c r="AC7" s="75">
        <v>0.1335</v>
      </c>
      <c r="AD7" s="75">
        <v>0.1326</v>
      </c>
      <c r="AE7" s="75">
        <v>0.1324</v>
      </c>
      <c r="AF7" s="75">
        <v>0.1315</v>
      </c>
      <c r="AG7" s="75">
        <v>0.1323</v>
      </c>
      <c r="AH7" s="75">
        <v>0.1321</v>
      </c>
      <c r="AI7" s="75">
        <v>0.1323</v>
      </c>
      <c r="AJ7" s="75">
        <v>0.1304</v>
      </c>
      <c r="AK7" s="75">
        <v>0.1303</v>
      </c>
      <c r="AL7" s="75">
        <v>0.1298</v>
      </c>
    </row>
    <row r="8">
      <c r="A8" s="9">
        <v>0.15625</v>
      </c>
      <c r="B8" s="75">
        <v>0.0</v>
      </c>
      <c r="C8" s="75">
        <v>0.0498</v>
      </c>
      <c r="D8" s="75">
        <v>0.0563</v>
      </c>
      <c r="E8" s="75">
        <v>0.0596</v>
      </c>
      <c r="F8" s="75">
        <v>0.0642</v>
      </c>
      <c r="G8" s="75">
        <v>0.069</v>
      </c>
      <c r="H8" s="75">
        <v>0.0733</v>
      </c>
      <c r="I8" s="75">
        <v>0.077</v>
      </c>
      <c r="J8" s="75">
        <v>0.0803</v>
      </c>
      <c r="K8" s="75">
        <v>0.0832</v>
      </c>
      <c r="L8" s="75">
        <v>0.0858</v>
      </c>
      <c r="M8" s="75">
        <v>0.0881</v>
      </c>
      <c r="N8" s="75">
        <v>0.0901</v>
      </c>
      <c r="O8" s="75">
        <v>0.0917</v>
      </c>
      <c r="P8" s="75">
        <v>0.0933</v>
      </c>
      <c r="Q8" s="75">
        <v>0.0944</v>
      </c>
      <c r="R8" s="75">
        <v>0.0958</v>
      </c>
      <c r="S8" s="75">
        <v>0.0967</v>
      </c>
      <c r="T8" s="75">
        <v>0.0973</v>
      </c>
      <c r="U8" s="75">
        <v>0.0981</v>
      </c>
      <c r="V8" s="75">
        <v>0.0986</v>
      </c>
      <c r="W8" s="75">
        <v>0.0992</v>
      </c>
      <c r="X8" s="75">
        <v>0.0997</v>
      </c>
      <c r="Y8" s="75">
        <v>0.1</v>
      </c>
      <c r="Z8" s="75">
        <v>0.1004</v>
      </c>
      <c r="AA8" s="75">
        <v>0.1008</v>
      </c>
      <c r="AB8" s="75">
        <v>0.1009</v>
      </c>
      <c r="AC8" s="75">
        <v>0.1012</v>
      </c>
      <c r="AD8" s="75">
        <v>0.1012</v>
      </c>
      <c r="AE8" s="75">
        <v>0.1012</v>
      </c>
      <c r="AF8" s="75">
        <v>0.1014</v>
      </c>
      <c r="AG8" s="75">
        <v>0.1014</v>
      </c>
      <c r="AH8" s="75">
        <v>0.1015</v>
      </c>
      <c r="AI8" s="75">
        <v>0.1015</v>
      </c>
      <c r="AJ8" s="75">
        <v>0.1015</v>
      </c>
      <c r="AK8" s="75">
        <v>0.1017</v>
      </c>
      <c r="AL8" s="75">
        <v>0.1016</v>
      </c>
    </row>
    <row r="9">
      <c r="A9" s="9">
        <v>0.078125</v>
      </c>
      <c r="B9" s="75">
        <v>0.0</v>
      </c>
      <c r="C9" s="75">
        <v>0.0498</v>
      </c>
      <c r="D9" s="75">
        <v>0.055</v>
      </c>
      <c r="E9" s="75">
        <v>0.0595</v>
      </c>
      <c r="F9" s="75">
        <v>0.0636</v>
      </c>
      <c r="G9" s="75">
        <v>0.0669</v>
      </c>
      <c r="H9" s="75">
        <v>0.0695</v>
      </c>
      <c r="I9" s="75">
        <v>0.0714</v>
      </c>
      <c r="J9" s="75">
        <v>0.0727</v>
      </c>
      <c r="K9" s="75">
        <v>0.0736</v>
      </c>
      <c r="L9" s="75">
        <v>0.0753</v>
      </c>
      <c r="M9" s="75">
        <v>0.0754</v>
      </c>
      <c r="N9" s="75">
        <v>0.0761</v>
      </c>
      <c r="O9" s="75">
        <v>0.0764</v>
      </c>
      <c r="P9" s="75">
        <v>0.0762</v>
      </c>
      <c r="Q9" s="75">
        <v>0.0762</v>
      </c>
      <c r="R9" s="75">
        <v>0.0764</v>
      </c>
      <c r="S9" s="75">
        <v>0.0761</v>
      </c>
      <c r="T9" s="75">
        <v>0.0763</v>
      </c>
      <c r="U9" s="75">
        <v>0.0769</v>
      </c>
      <c r="V9" s="75">
        <v>0.0769</v>
      </c>
      <c r="W9" s="75">
        <v>0.0779</v>
      </c>
      <c r="X9" s="75">
        <v>0.0776</v>
      </c>
      <c r="Y9" s="75">
        <v>0.0774</v>
      </c>
      <c r="Z9" s="75">
        <v>0.0761</v>
      </c>
      <c r="AA9" s="75">
        <v>0.077</v>
      </c>
      <c r="AB9" s="75">
        <v>0.0761</v>
      </c>
      <c r="AC9" s="75">
        <v>0.0753</v>
      </c>
      <c r="AD9" s="75">
        <v>0.0771</v>
      </c>
      <c r="AE9" s="75">
        <v>0.0774</v>
      </c>
      <c r="AF9" s="75">
        <v>0.076</v>
      </c>
      <c r="AG9" s="75">
        <v>0.0759</v>
      </c>
      <c r="AH9" s="75">
        <v>0.0761</v>
      </c>
      <c r="AI9" s="75">
        <v>0.0756</v>
      </c>
      <c r="AJ9" s="75">
        <v>0.0753</v>
      </c>
      <c r="AK9" s="75">
        <v>0.0761</v>
      </c>
      <c r="AL9" s="75">
        <v>0.076</v>
      </c>
    </row>
    <row r="10">
      <c r="A10" s="9">
        <v>0.039063</v>
      </c>
      <c r="B10" s="75">
        <v>0.0</v>
      </c>
      <c r="C10" s="75">
        <v>0.061</v>
      </c>
      <c r="D10" s="75">
        <v>0.0608</v>
      </c>
      <c r="E10" s="75">
        <v>0.0608</v>
      </c>
      <c r="F10" s="75">
        <v>0.0608</v>
      </c>
      <c r="G10" s="75">
        <v>0.0608</v>
      </c>
      <c r="H10" s="75">
        <v>0.0608</v>
      </c>
      <c r="I10" s="75">
        <v>0.0608</v>
      </c>
      <c r="J10" s="75">
        <v>0.0608</v>
      </c>
      <c r="K10" s="75">
        <v>0.0608</v>
      </c>
      <c r="L10" s="75">
        <v>0.0608</v>
      </c>
      <c r="M10" s="75">
        <v>0.0608</v>
      </c>
      <c r="N10" s="75">
        <v>0.0608</v>
      </c>
      <c r="O10" s="75">
        <v>0.0607</v>
      </c>
      <c r="P10" s="75">
        <v>0.0609</v>
      </c>
      <c r="Q10" s="75">
        <v>0.0608</v>
      </c>
      <c r="R10" s="75">
        <v>0.0609</v>
      </c>
      <c r="S10" s="75">
        <v>0.0608</v>
      </c>
      <c r="T10" s="75">
        <v>0.0607</v>
      </c>
      <c r="U10" s="75">
        <v>0.0609</v>
      </c>
      <c r="V10" s="75">
        <v>0.0608</v>
      </c>
      <c r="W10" s="75">
        <v>0.0608</v>
      </c>
      <c r="X10" s="75">
        <v>0.0607</v>
      </c>
      <c r="Y10" s="75">
        <v>0.0608</v>
      </c>
      <c r="Z10" s="75">
        <v>0.0609</v>
      </c>
      <c r="AA10" s="75">
        <v>0.0608</v>
      </c>
      <c r="AB10" s="75">
        <v>0.0608</v>
      </c>
      <c r="AC10" s="75">
        <v>0.0609</v>
      </c>
      <c r="AD10" s="75">
        <v>0.0608</v>
      </c>
      <c r="AE10" s="75">
        <v>0.0608</v>
      </c>
      <c r="AF10" s="75">
        <v>0.0608</v>
      </c>
      <c r="AG10" s="75">
        <v>0.0608</v>
      </c>
      <c r="AH10" s="75">
        <v>0.0608</v>
      </c>
      <c r="AI10" s="75">
        <v>0.0608</v>
      </c>
      <c r="AJ10" s="75">
        <v>0.0608</v>
      </c>
      <c r="AK10" s="75">
        <v>0.0608</v>
      </c>
      <c r="AL10" s="75">
        <v>0.0608</v>
      </c>
    </row>
    <row r="11">
      <c r="A11" s="8"/>
      <c r="B11" s="9">
        <v>0.0</v>
      </c>
      <c r="C11" s="9">
        <v>0.0</v>
      </c>
      <c r="D11" s="9">
        <v>0.0</v>
      </c>
      <c r="E11" s="9">
        <v>0.0</v>
      </c>
      <c r="F11" s="9">
        <v>0.0</v>
      </c>
      <c r="G11" s="9">
        <v>0.0</v>
      </c>
      <c r="H11" s="9">
        <v>0.0</v>
      </c>
      <c r="I11" s="9">
        <v>0.0</v>
      </c>
      <c r="J11" s="9">
        <v>0.0</v>
      </c>
      <c r="K11" s="9">
        <v>0.0</v>
      </c>
      <c r="L11" s="9">
        <v>0.0</v>
      </c>
      <c r="M11" s="9">
        <v>0.0</v>
      </c>
      <c r="N11" s="9">
        <v>0.0</v>
      </c>
      <c r="O11" s="9">
        <v>0.0</v>
      </c>
      <c r="P11" s="9">
        <v>0.0</v>
      </c>
      <c r="Q11" s="9">
        <v>0.0</v>
      </c>
      <c r="R11" s="9">
        <v>0.0</v>
      </c>
      <c r="S11" s="9">
        <v>0.0</v>
      </c>
      <c r="T11" s="9">
        <v>0.0</v>
      </c>
      <c r="U11" s="9">
        <v>0.0</v>
      </c>
      <c r="V11" s="9">
        <v>0.0</v>
      </c>
      <c r="W11" s="9">
        <v>0.0</v>
      </c>
      <c r="X11" s="9">
        <v>0.0</v>
      </c>
      <c r="Y11" s="9">
        <v>0.0</v>
      </c>
      <c r="Z11" s="9">
        <v>0.0</v>
      </c>
      <c r="AA11" s="9">
        <v>0.0</v>
      </c>
      <c r="AB11" s="9">
        <v>0.0</v>
      </c>
      <c r="AC11" s="9">
        <v>0.0</v>
      </c>
      <c r="AD11" s="9">
        <v>0.0</v>
      </c>
      <c r="AE11" s="9">
        <v>0.0</v>
      </c>
      <c r="AF11" s="9">
        <v>0.0</v>
      </c>
      <c r="AG11" s="9">
        <v>0.0</v>
      </c>
      <c r="AH11" s="9">
        <v>0.0</v>
      </c>
      <c r="AI11" s="9">
        <v>0.0</v>
      </c>
      <c r="AJ11" s="9">
        <v>0.0</v>
      </c>
      <c r="AK11" s="9">
        <v>0.0</v>
      </c>
      <c r="AL11" s="9">
        <v>0.0</v>
      </c>
    </row>
    <row r="12">
      <c r="A12" s="109" t="s">
        <v>282</v>
      </c>
      <c r="B12" s="1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>
      <c r="A14" s="78"/>
      <c r="B14" s="110">
        <v>5.0</v>
      </c>
      <c r="C14" s="110">
        <v>10.0</v>
      </c>
      <c r="D14" s="110">
        <v>15.0</v>
      </c>
      <c r="E14" s="110">
        <v>20.0</v>
      </c>
      <c r="F14" s="110">
        <v>25.0</v>
      </c>
      <c r="G14" s="110">
        <v>30.0</v>
      </c>
      <c r="H14" s="110">
        <v>35.0</v>
      </c>
      <c r="I14" s="110">
        <v>40.0</v>
      </c>
      <c r="J14" s="110">
        <v>45.0</v>
      </c>
      <c r="K14" s="110">
        <v>50.0</v>
      </c>
      <c r="L14" s="75">
        <v>55.0</v>
      </c>
      <c r="M14" s="75">
        <v>60.0</v>
      </c>
      <c r="N14" s="75">
        <v>65.0</v>
      </c>
      <c r="O14" s="75">
        <v>70.0</v>
      </c>
      <c r="P14" s="75">
        <v>75.0</v>
      </c>
      <c r="Q14" s="75">
        <v>80.0</v>
      </c>
      <c r="R14" s="75">
        <v>85.0</v>
      </c>
      <c r="S14" s="75">
        <v>90.0</v>
      </c>
      <c r="T14" s="75">
        <v>95.0</v>
      </c>
      <c r="U14" s="75">
        <v>100.0</v>
      </c>
      <c r="V14" s="75">
        <v>105.0</v>
      </c>
      <c r="W14" s="75">
        <v>110.0</v>
      </c>
      <c r="X14" s="75">
        <v>115.0</v>
      </c>
      <c r="Y14" s="75">
        <v>120.0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>
      <c r="A15" s="110">
        <v>5.0</v>
      </c>
      <c r="B15" s="110">
        <v>0.0901</v>
      </c>
      <c r="C15" s="110">
        <v>0.0995</v>
      </c>
      <c r="D15" s="110">
        <v>0.1094</v>
      </c>
      <c r="E15" s="110">
        <v>0.1195</v>
      </c>
      <c r="F15" s="110">
        <v>0.1449</v>
      </c>
      <c r="G15" s="110">
        <v>0.151</v>
      </c>
      <c r="H15" s="110">
        <v>0.1691</v>
      </c>
      <c r="I15" s="110">
        <v>0.1802</v>
      </c>
      <c r="J15" s="110">
        <v>0.1929</v>
      </c>
      <c r="K15" s="110">
        <v>0.1942</v>
      </c>
      <c r="L15" s="75">
        <v>0.2043</v>
      </c>
      <c r="M15" s="75">
        <v>0.2198</v>
      </c>
      <c r="N15" s="75">
        <v>0.2304</v>
      </c>
      <c r="O15" s="75">
        <v>0.232</v>
      </c>
      <c r="P15" s="75">
        <v>0.2448</v>
      </c>
      <c r="Q15" s="75">
        <v>0.247</v>
      </c>
      <c r="R15" s="75">
        <v>0.2627</v>
      </c>
      <c r="S15" s="75">
        <v>0.265</v>
      </c>
      <c r="T15" s="75">
        <v>0.283</v>
      </c>
      <c r="U15" s="75">
        <v>0.2836</v>
      </c>
      <c r="V15" s="75">
        <v>0.2982</v>
      </c>
      <c r="W15" s="75">
        <v>0.3018</v>
      </c>
      <c r="X15" s="75">
        <v>0.3112</v>
      </c>
      <c r="Y15" s="75">
        <v>0.3257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>
      <c r="A16" s="110">
        <v>2.5</v>
      </c>
      <c r="B16" s="110">
        <v>0.0772</v>
      </c>
      <c r="C16" s="110">
        <v>0.0912</v>
      </c>
      <c r="D16" s="110">
        <v>0.1054</v>
      </c>
      <c r="E16" s="110">
        <v>0.121</v>
      </c>
      <c r="F16" s="110">
        <v>0.1335</v>
      </c>
      <c r="G16" s="110">
        <v>0.1469</v>
      </c>
      <c r="H16" s="110">
        <v>0.1622</v>
      </c>
      <c r="I16" s="110">
        <v>0.1764</v>
      </c>
      <c r="J16" s="110">
        <v>0.1892</v>
      </c>
      <c r="K16" s="110">
        <v>0.2024</v>
      </c>
      <c r="L16" s="75">
        <v>0.2144</v>
      </c>
      <c r="M16" s="75">
        <v>0.2255</v>
      </c>
      <c r="N16" s="75">
        <v>0.2404</v>
      </c>
      <c r="O16" s="75">
        <v>0.2532</v>
      </c>
      <c r="P16" s="75">
        <v>0.2647</v>
      </c>
      <c r="Q16" s="75">
        <v>0.276</v>
      </c>
      <c r="R16" s="75">
        <v>0.289</v>
      </c>
      <c r="S16" s="75">
        <v>0.2992</v>
      </c>
      <c r="T16" s="75">
        <v>0.3106</v>
      </c>
      <c r="U16" s="75">
        <v>0.3212</v>
      </c>
      <c r="V16" s="75">
        <v>0.3324</v>
      </c>
      <c r="W16" s="75">
        <v>0.3456</v>
      </c>
      <c r="X16" s="75">
        <v>0.3578</v>
      </c>
      <c r="Y16" s="75">
        <v>0.3677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>
      <c r="A17" s="110">
        <v>1.25</v>
      </c>
      <c r="B17" s="110">
        <v>0.0703</v>
      </c>
      <c r="C17" s="110">
        <v>0.0859</v>
      </c>
      <c r="D17" s="110">
        <v>0.1008</v>
      </c>
      <c r="E17" s="110">
        <v>0.1143</v>
      </c>
      <c r="F17" s="110">
        <v>0.1383</v>
      </c>
      <c r="G17" s="110">
        <v>0.154</v>
      </c>
      <c r="H17" s="110">
        <v>0.1671</v>
      </c>
      <c r="I17" s="110">
        <v>0.182</v>
      </c>
      <c r="J17" s="110">
        <v>0.1977</v>
      </c>
      <c r="K17" s="110">
        <v>0.211</v>
      </c>
      <c r="L17" s="75">
        <v>0.2233</v>
      </c>
      <c r="M17" s="75">
        <v>0.233</v>
      </c>
      <c r="N17" s="75">
        <v>0.2431</v>
      </c>
      <c r="O17" s="75">
        <v>0.2582</v>
      </c>
      <c r="P17" s="75">
        <v>0.2687</v>
      </c>
      <c r="Q17" s="75">
        <v>0.2811</v>
      </c>
      <c r="R17" s="75">
        <v>0.2914</v>
      </c>
      <c r="S17" s="75">
        <v>0.3033</v>
      </c>
      <c r="T17" s="75">
        <v>0.3111</v>
      </c>
      <c r="U17" s="75">
        <v>0.32</v>
      </c>
      <c r="V17" s="75">
        <v>0.3274</v>
      </c>
      <c r="W17" s="75">
        <v>0.3373</v>
      </c>
      <c r="X17" s="75">
        <v>0.3439</v>
      </c>
      <c r="Y17" s="75">
        <v>0.3502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>
      <c r="A18" s="110">
        <v>0.625</v>
      </c>
      <c r="B18" s="110">
        <v>0.071</v>
      </c>
      <c r="C18" s="110">
        <v>0.0968</v>
      </c>
      <c r="D18" s="110">
        <v>0.1167</v>
      </c>
      <c r="E18" s="110">
        <v>0.1612</v>
      </c>
      <c r="F18" s="110">
        <v>0.1996</v>
      </c>
      <c r="G18" s="110">
        <v>0.2212</v>
      </c>
      <c r="H18" s="110">
        <v>0.2306</v>
      </c>
      <c r="I18" s="110">
        <v>0.2532</v>
      </c>
      <c r="J18" s="110">
        <v>0.2625</v>
      </c>
      <c r="K18" s="110">
        <v>0.2732</v>
      </c>
      <c r="L18" s="75">
        <v>0.2758</v>
      </c>
      <c r="M18" s="75">
        <v>0.2686</v>
      </c>
      <c r="N18" s="75">
        <v>0.2825</v>
      </c>
      <c r="O18" s="75">
        <v>0.2917</v>
      </c>
      <c r="P18" s="75">
        <v>0.2822</v>
      </c>
      <c r="Q18" s="75">
        <v>0.2835</v>
      </c>
      <c r="R18" s="75">
        <v>0.279</v>
      </c>
      <c r="S18" s="75">
        <v>0.2767</v>
      </c>
      <c r="T18" s="75">
        <v>0.2881</v>
      </c>
      <c r="U18" s="75">
        <v>0.2869</v>
      </c>
      <c r="V18" s="75">
        <v>0.2894</v>
      </c>
      <c r="W18" s="75">
        <v>0.2846</v>
      </c>
      <c r="X18" s="75">
        <v>0.2664</v>
      </c>
      <c r="Y18" s="75">
        <v>0.2787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>
      <c r="A19" s="110">
        <v>0.3125</v>
      </c>
      <c r="B19" s="110">
        <v>0.0664</v>
      </c>
      <c r="C19" s="110">
        <v>0.0926</v>
      </c>
      <c r="D19" s="110">
        <v>0.1205</v>
      </c>
      <c r="E19" s="110">
        <v>0.1518</v>
      </c>
      <c r="F19" s="110">
        <v>0.1855</v>
      </c>
      <c r="G19" s="110">
        <v>0.1725</v>
      </c>
      <c r="H19" s="110">
        <v>0.1766</v>
      </c>
      <c r="I19" s="110">
        <v>0.1784</v>
      </c>
      <c r="J19" s="110">
        <v>0.1796</v>
      </c>
      <c r="K19" s="110">
        <v>0.1782</v>
      </c>
      <c r="L19" s="75">
        <v>0.1773</v>
      </c>
      <c r="M19" s="75">
        <v>0.1804</v>
      </c>
      <c r="N19" s="75">
        <v>0.1779</v>
      </c>
      <c r="O19" s="75">
        <v>0.1809</v>
      </c>
      <c r="P19" s="75">
        <v>0.1706</v>
      </c>
      <c r="Q19" s="75">
        <v>0.1782</v>
      </c>
      <c r="R19" s="75">
        <v>0.1814</v>
      </c>
      <c r="S19" s="75">
        <v>0.1872</v>
      </c>
      <c r="T19" s="75">
        <v>0.1876</v>
      </c>
      <c r="U19" s="75">
        <v>0.1856</v>
      </c>
      <c r="V19" s="75">
        <v>0.1863</v>
      </c>
      <c r="W19" s="75">
        <v>0.1994</v>
      </c>
      <c r="X19" s="75">
        <v>0.1984</v>
      </c>
      <c r="Y19" s="75">
        <v>0.1952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>
      <c r="A20" s="110">
        <v>0.15625</v>
      </c>
      <c r="B20" s="110">
        <v>0.0579</v>
      </c>
      <c r="C20" s="110">
        <v>0.0681</v>
      </c>
      <c r="D20" s="110">
        <v>0.0818</v>
      </c>
      <c r="E20" s="110">
        <v>0.0764</v>
      </c>
      <c r="F20" s="110">
        <v>0.0861</v>
      </c>
      <c r="G20" s="110">
        <v>0.0888</v>
      </c>
      <c r="H20" s="110">
        <v>0.0913</v>
      </c>
      <c r="I20" s="110">
        <v>0.0969</v>
      </c>
      <c r="J20" s="110">
        <v>0.0998</v>
      </c>
      <c r="K20" s="110">
        <v>0.0981</v>
      </c>
      <c r="L20" s="75">
        <v>0.0985</v>
      </c>
      <c r="M20" s="75">
        <v>0.1032</v>
      </c>
      <c r="N20" s="75">
        <v>0.0989</v>
      </c>
      <c r="O20" s="75">
        <v>0.1033</v>
      </c>
      <c r="P20" s="75">
        <v>0.1058</v>
      </c>
      <c r="Q20" s="75">
        <v>0.1104</v>
      </c>
      <c r="R20" s="75">
        <v>0.1009</v>
      </c>
      <c r="S20" s="75">
        <v>0.104</v>
      </c>
      <c r="T20" s="75">
        <v>0.1055</v>
      </c>
      <c r="U20" s="75">
        <v>0.1054</v>
      </c>
      <c r="V20" s="75">
        <v>0.0986</v>
      </c>
      <c r="W20" s="75">
        <v>0.1075</v>
      </c>
      <c r="X20" s="75">
        <v>0.1033</v>
      </c>
      <c r="Y20" s="75">
        <v>0.1088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>
      <c r="A21" s="110">
        <v>0.078125</v>
      </c>
      <c r="B21" s="110">
        <v>0.0605</v>
      </c>
      <c r="C21" s="110">
        <v>0.0709</v>
      </c>
      <c r="D21" s="110">
        <v>0.0706</v>
      </c>
      <c r="E21" s="110">
        <v>0.0738</v>
      </c>
      <c r="F21" s="110">
        <v>0.0784</v>
      </c>
      <c r="G21" s="110">
        <v>0.0808</v>
      </c>
      <c r="H21" s="110">
        <v>0.0826</v>
      </c>
      <c r="I21" s="110">
        <v>0.0829</v>
      </c>
      <c r="J21" s="110">
        <v>0.087</v>
      </c>
      <c r="K21" s="110">
        <v>0.0879</v>
      </c>
      <c r="L21" s="75">
        <v>0.0888</v>
      </c>
      <c r="M21" s="75">
        <v>0.0872</v>
      </c>
      <c r="N21" s="75">
        <v>0.0894</v>
      </c>
      <c r="O21" s="75">
        <v>0.0873</v>
      </c>
      <c r="P21" s="75">
        <v>0.0878</v>
      </c>
      <c r="Q21" s="75">
        <v>0.0874</v>
      </c>
      <c r="R21" s="75">
        <v>0.0872</v>
      </c>
      <c r="S21" s="75">
        <v>0.0916</v>
      </c>
      <c r="T21" s="75">
        <v>0.0928</v>
      </c>
      <c r="U21" s="75">
        <v>0.0874</v>
      </c>
      <c r="V21" s="75">
        <v>0.091</v>
      </c>
      <c r="W21" s="75">
        <v>0.0914</v>
      </c>
      <c r="X21" s="75">
        <v>0.0898</v>
      </c>
      <c r="Y21" s="75">
        <v>0.091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>
      <c r="A22" s="110">
        <v>0.0390625</v>
      </c>
      <c r="B22" s="110">
        <v>0.0552</v>
      </c>
      <c r="C22" s="110">
        <v>0.0591</v>
      </c>
      <c r="D22" s="110">
        <v>0.065</v>
      </c>
      <c r="E22" s="110">
        <v>0.0665</v>
      </c>
      <c r="F22" s="110">
        <v>0.0686</v>
      </c>
      <c r="G22" s="110">
        <v>0.0708</v>
      </c>
      <c r="H22" s="110">
        <v>0.0724</v>
      </c>
      <c r="I22" s="110">
        <v>0.0731</v>
      </c>
      <c r="J22" s="110">
        <v>0.0721</v>
      </c>
      <c r="K22" s="110">
        <v>0.0715</v>
      </c>
      <c r="L22" s="75">
        <v>0.0713</v>
      </c>
      <c r="M22" s="75">
        <v>0.0703</v>
      </c>
      <c r="N22" s="75">
        <v>0.07</v>
      </c>
      <c r="O22" s="75">
        <v>0.0705</v>
      </c>
      <c r="P22" s="75">
        <v>0.0722</v>
      </c>
      <c r="Q22" s="75">
        <v>0.0726</v>
      </c>
      <c r="R22" s="75">
        <v>0.0721</v>
      </c>
      <c r="S22" s="75">
        <v>0.0719</v>
      </c>
      <c r="T22" s="75">
        <v>0.0725</v>
      </c>
      <c r="U22" s="75">
        <v>0.0717</v>
      </c>
      <c r="V22" s="75">
        <v>0.0715</v>
      </c>
      <c r="W22" s="75">
        <v>0.0712</v>
      </c>
      <c r="X22" s="75">
        <v>0.0716</v>
      </c>
      <c r="Y22" s="75">
        <v>0.0723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>
      <c r="A24" s="110">
        <v>5.0</v>
      </c>
      <c r="B24" s="110">
        <v>0.0759</v>
      </c>
      <c r="C24" s="110">
        <v>0.084</v>
      </c>
      <c r="D24" s="110">
        <v>0.0925</v>
      </c>
      <c r="E24" s="110">
        <v>0.1033</v>
      </c>
      <c r="F24" s="110">
        <v>0.1153</v>
      </c>
      <c r="G24" s="110">
        <v>0.1255</v>
      </c>
      <c r="H24" s="110">
        <v>0.137</v>
      </c>
      <c r="I24" s="110">
        <v>0.1476</v>
      </c>
      <c r="J24" s="110">
        <v>0.1586</v>
      </c>
      <c r="K24" s="110">
        <v>0.1691</v>
      </c>
      <c r="L24" s="75">
        <v>0.1819</v>
      </c>
      <c r="M24" s="75">
        <v>0.1923</v>
      </c>
      <c r="N24" s="75">
        <v>0.2008</v>
      </c>
      <c r="O24" s="75">
        <v>0.2081</v>
      </c>
      <c r="P24" s="75">
        <v>0.2185</v>
      </c>
      <c r="Q24" s="75">
        <v>0.2281</v>
      </c>
      <c r="R24" s="75">
        <v>0.2381</v>
      </c>
      <c r="S24" s="75">
        <v>0.2462</v>
      </c>
      <c r="T24" s="75">
        <v>0.2565</v>
      </c>
      <c r="U24" s="75">
        <v>0.2674</v>
      </c>
      <c r="V24" s="75">
        <v>0.2745</v>
      </c>
      <c r="W24" s="75">
        <v>0.2846</v>
      </c>
      <c r="X24" s="75">
        <v>0.2916</v>
      </c>
      <c r="Y24" s="75">
        <v>0.3013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>
      <c r="A25" s="110">
        <v>2.5</v>
      </c>
      <c r="B25" s="110">
        <v>0.0713</v>
      </c>
      <c r="C25" s="110">
        <v>0.0886</v>
      </c>
      <c r="D25" s="110">
        <v>0.1063</v>
      </c>
      <c r="E25" s="110">
        <v>0.125</v>
      </c>
      <c r="F25" s="110">
        <v>0.1433</v>
      </c>
      <c r="G25" s="110">
        <v>0.1593</v>
      </c>
      <c r="H25" s="110">
        <v>0.1727</v>
      </c>
      <c r="I25" s="110">
        <v>0.194</v>
      </c>
      <c r="J25" s="110">
        <v>0.2184</v>
      </c>
      <c r="K25" s="110">
        <v>0.2394</v>
      </c>
      <c r="L25" s="75">
        <v>0.258</v>
      </c>
      <c r="M25" s="75">
        <v>0.273</v>
      </c>
      <c r="N25" s="75">
        <v>0.2892</v>
      </c>
      <c r="O25" s="75">
        <v>0.2995</v>
      </c>
      <c r="P25" s="75">
        <v>0.3142</v>
      </c>
      <c r="Q25" s="75">
        <v>0.3304</v>
      </c>
      <c r="R25" s="75">
        <v>0.3545</v>
      </c>
      <c r="S25" s="75">
        <v>0.3647</v>
      </c>
      <c r="T25" s="75">
        <v>0.3845</v>
      </c>
      <c r="U25" s="75">
        <v>0.3921</v>
      </c>
      <c r="V25" s="75">
        <v>0.4178</v>
      </c>
      <c r="W25" s="75">
        <v>0.4307</v>
      </c>
      <c r="X25" s="75">
        <v>0.4438</v>
      </c>
      <c r="Y25" s="75">
        <v>0.4551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>
      <c r="A26" s="110">
        <v>1.25</v>
      </c>
      <c r="B26" s="110">
        <v>0.0604</v>
      </c>
      <c r="C26" s="110">
        <v>0.0709</v>
      </c>
      <c r="D26" s="110">
        <v>0.0763</v>
      </c>
      <c r="E26" s="110">
        <v>0.0849</v>
      </c>
      <c r="F26" s="110">
        <v>0.0947</v>
      </c>
      <c r="G26" s="110">
        <v>0.1041</v>
      </c>
      <c r="H26" s="110">
        <v>0.1143</v>
      </c>
      <c r="I26" s="110">
        <v>0.1235</v>
      </c>
      <c r="J26" s="110">
        <v>0.1361</v>
      </c>
      <c r="K26" s="110">
        <v>0.1428</v>
      </c>
      <c r="L26" s="75">
        <v>0.1538</v>
      </c>
      <c r="M26" s="75">
        <v>0.1614</v>
      </c>
      <c r="N26" s="75">
        <v>0.1705</v>
      </c>
      <c r="O26" s="75">
        <v>0.18</v>
      </c>
      <c r="P26" s="75">
        <v>0.1883</v>
      </c>
      <c r="Q26" s="75">
        <v>0.1971</v>
      </c>
      <c r="R26" s="75">
        <v>0.2053</v>
      </c>
      <c r="S26" s="75">
        <v>0.2112</v>
      </c>
      <c r="T26" s="75">
        <v>0.2193</v>
      </c>
      <c r="U26" s="75">
        <v>0.228</v>
      </c>
      <c r="V26" s="75">
        <v>0.2362</v>
      </c>
      <c r="W26" s="75">
        <v>0.2415</v>
      </c>
      <c r="X26" s="75">
        <v>0.2475</v>
      </c>
      <c r="Y26" s="75">
        <v>0.2542</v>
      </c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>
      <c r="A27" s="110">
        <v>0.625</v>
      </c>
      <c r="B27" s="110">
        <v>0.0574</v>
      </c>
      <c r="C27" s="110">
        <v>0.0765</v>
      </c>
      <c r="D27" s="110">
        <v>0.0955</v>
      </c>
      <c r="E27" s="110">
        <v>0.0981</v>
      </c>
      <c r="F27" s="110">
        <v>0.0901</v>
      </c>
      <c r="G27" s="110">
        <v>0.0958</v>
      </c>
      <c r="H27" s="110">
        <v>0.1039</v>
      </c>
      <c r="I27" s="110">
        <v>0.1116</v>
      </c>
      <c r="J27" s="110">
        <v>0.1188</v>
      </c>
      <c r="K27" s="110">
        <v>0.1249</v>
      </c>
      <c r="L27" s="75">
        <v>0.1314</v>
      </c>
      <c r="M27" s="75">
        <v>0.1378</v>
      </c>
      <c r="N27" s="75">
        <v>0.1421</v>
      </c>
      <c r="O27" s="75">
        <v>0.1479</v>
      </c>
      <c r="P27" s="75">
        <v>0.1534</v>
      </c>
      <c r="Q27" s="75">
        <v>0.1593</v>
      </c>
      <c r="R27" s="75">
        <v>0.1635</v>
      </c>
      <c r="S27" s="75">
        <v>0.1676</v>
      </c>
      <c r="T27" s="75">
        <v>0.1719</v>
      </c>
      <c r="U27" s="75">
        <v>0.176</v>
      </c>
      <c r="V27" s="75">
        <v>0.1793</v>
      </c>
      <c r="W27" s="75">
        <v>0.1826</v>
      </c>
      <c r="X27" s="75">
        <v>0.1857</v>
      </c>
      <c r="Y27" s="75">
        <v>0.1887</v>
      </c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>
      <c r="A28" s="110">
        <v>0.3125</v>
      </c>
      <c r="B28" s="110">
        <v>0.0596</v>
      </c>
      <c r="C28" s="110">
        <v>0.0741</v>
      </c>
      <c r="D28" s="110">
        <v>0.0895</v>
      </c>
      <c r="E28" s="110">
        <v>0.1065</v>
      </c>
      <c r="F28" s="110">
        <v>0.1218</v>
      </c>
      <c r="G28" s="110">
        <v>0.135</v>
      </c>
      <c r="H28" s="110">
        <v>0.1399</v>
      </c>
      <c r="I28" s="110">
        <v>0.1406</v>
      </c>
      <c r="J28" s="110">
        <v>0.1443</v>
      </c>
      <c r="K28" s="110">
        <v>0.148</v>
      </c>
      <c r="L28" s="75">
        <v>0.148</v>
      </c>
      <c r="M28" s="75">
        <v>0.148</v>
      </c>
      <c r="N28" s="75">
        <v>0.1451</v>
      </c>
      <c r="O28" s="75">
        <v>0.1461</v>
      </c>
      <c r="P28" s="75">
        <v>0.1523</v>
      </c>
      <c r="Q28" s="75">
        <v>0.1534</v>
      </c>
      <c r="R28" s="75">
        <v>0.1543</v>
      </c>
      <c r="S28" s="75">
        <v>0.1548</v>
      </c>
      <c r="T28" s="75">
        <v>0.1542</v>
      </c>
      <c r="U28" s="75">
        <v>0.1474</v>
      </c>
      <c r="V28" s="75">
        <v>0.1517</v>
      </c>
      <c r="W28" s="75">
        <v>0.1518</v>
      </c>
      <c r="X28" s="75">
        <v>0.1545</v>
      </c>
      <c r="Y28" s="75">
        <v>0.1525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>
      <c r="A29" s="110">
        <v>0.15625</v>
      </c>
      <c r="B29" s="110">
        <v>0.0529</v>
      </c>
      <c r="C29" s="110">
        <v>0.0601</v>
      </c>
      <c r="D29" s="110">
        <v>0.0645</v>
      </c>
      <c r="E29" s="110">
        <v>0.0632</v>
      </c>
      <c r="F29" s="110">
        <v>0.0695</v>
      </c>
      <c r="G29" s="110">
        <v>0.0747</v>
      </c>
      <c r="H29" s="110">
        <v>0.0795</v>
      </c>
      <c r="I29" s="110">
        <v>0.0836</v>
      </c>
      <c r="J29" s="110">
        <v>0.0858</v>
      </c>
      <c r="K29" s="110">
        <v>0.0884</v>
      </c>
      <c r="L29" s="75">
        <v>0.0893</v>
      </c>
      <c r="M29" s="75">
        <v>0.0907</v>
      </c>
      <c r="N29" s="75">
        <v>0.0914</v>
      </c>
      <c r="O29" s="75">
        <v>0.0933</v>
      </c>
      <c r="P29" s="75">
        <v>0.0951</v>
      </c>
      <c r="Q29" s="75">
        <v>0.0945</v>
      </c>
      <c r="R29" s="75">
        <v>0.0955</v>
      </c>
      <c r="S29" s="75">
        <v>0.0953</v>
      </c>
      <c r="T29" s="75">
        <v>0.0957</v>
      </c>
      <c r="U29" s="75">
        <v>0.0963</v>
      </c>
      <c r="V29" s="75">
        <v>0.0963</v>
      </c>
      <c r="W29" s="75">
        <v>0.0959</v>
      </c>
      <c r="X29" s="75">
        <v>0.0959</v>
      </c>
      <c r="Y29" s="75">
        <v>0.0965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>
      <c r="A30" s="110">
        <v>0.078125</v>
      </c>
      <c r="B30" s="110">
        <v>0.0553</v>
      </c>
      <c r="C30" s="110">
        <v>0.0614</v>
      </c>
      <c r="D30" s="110">
        <v>0.066</v>
      </c>
      <c r="E30" s="110">
        <v>0.0694</v>
      </c>
      <c r="F30" s="110">
        <v>0.0717</v>
      </c>
      <c r="G30" s="110">
        <v>0.0766</v>
      </c>
      <c r="H30" s="110">
        <v>0.0794</v>
      </c>
      <c r="I30" s="110">
        <v>0.0803</v>
      </c>
      <c r="J30" s="110">
        <v>0.0782</v>
      </c>
      <c r="K30" s="110">
        <v>0.0769</v>
      </c>
      <c r="L30" s="75">
        <v>0.0785</v>
      </c>
      <c r="M30" s="75">
        <v>0.0788</v>
      </c>
      <c r="N30" s="75">
        <v>0.0792</v>
      </c>
      <c r="O30" s="75">
        <v>0.0801</v>
      </c>
      <c r="P30" s="75">
        <v>0.0812</v>
      </c>
      <c r="Q30" s="75">
        <v>0.0804</v>
      </c>
      <c r="R30" s="75">
        <v>0.0805</v>
      </c>
      <c r="S30" s="75">
        <v>0.0805</v>
      </c>
      <c r="T30" s="75">
        <v>0.0808</v>
      </c>
      <c r="U30" s="75">
        <v>0.0816</v>
      </c>
      <c r="V30" s="75">
        <v>0.082</v>
      </c>
      <c r="W30" s="75">
        <v>0.0816</v>
      </c>
      <c r="X30" s="75">
        <v>0.0813</v>
      </c>
      <c r="Y30" s="75">
        <v>0.0811</v>
      </c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>
      <c r="A31" s="110">
        <v>0.0390625</v>
      </c>
      <c r="B31" s="110">
        <v>0.0583</v>
      </c>
      <c r="C31" s="110">
        <v>0.0599</v>
      </c>
      <c r="D31" s="110">
        <v>0.0618</v>
      </c>
      <c r="E31" s="110">
        <v>0.0636</v>
      </c>
      <c r="F31" s="110">
        <v>0.065</v>
      </c>
      <c r="G31" s="110">
        <v>0.0661</v>
      </c>
      <c r="H31" s="110">
        <v>0.0672</v>
      </c>
      <c r="I31" s="110">
        <v>0.0682</v>
      </c>
      <c r="J31" s="110">
        <v>0.0694</v>
      </c>
      <c r="K31" s="110">
        <v>0.0705</v>
      </c>
      <c r="L31" s="75">
        <v>0.0725</v>
      </c>
      <c r="M31" s="75">
        <v>0.071</v>
      </c>
      <c r="N31" s="75">
        <v>0.0701</v>
      </c>
      <c r="O31" s="75">
        <v>0.0704</v>
      </c>
      <c r="P31" s="75">
        <v>0.0703</v>
      </c>
      <c r="Q31" s="75">
        <v>0.0718</v>
      </c>
      <c r="R31" s="75">
        <v>0.0708</v>
      </c>
      <c r="S31" s="75">
        <v>0.0715</v>
      </c>
      <c r="T31" s="75">
        <v>0.0717</v>
      </c>
      <c r="U31" s="75">
        <v>0.0724</v>
      </c>
      <c r="V31" s="75">
        <v>0.0727</v>
      </c>
      <c r="W31" s="75">
        <v>0.0729</v>
      </c>
      <c r="X31" s="75">
        <v>0.0722</v>
      </c>
      <c r="Y31" s="75">
        <v>0.072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>
      <c r="A33" s="110">
        <v>5.0</v>
      </c>
      <c r="B33" s="110">
        <v>0.071</v>
      </c>
      <c r="C33" s="110">
        <v>0.0819</v>
      </c>
      <c r="D33" s="110">
        <v>0.0932</v>
      </c>
      <c r="E33" s="110">
        <v>0.1045</v>
      </c>
      <c r="F33" s="110">
        <v>0.1152</v>
      </c>
      <c r="G33" s="110">
        <v>0.1265</v>
      </c>
      <c r="H33" s="110">
        <v>0.1375</v>
      </c>
      <c r="I33" s="110">
        <v>0.1474</v>
      </c>
      <c r="J33" s="110">
        <v>0.1573</v>
      </c>
      <c r="K33" s="110">
        <v>0.1679</v>
      </c>
      <c r="L33" s="75">
        <v>0.1774</v>
      </c>
      <c r="M33" s="75">
        <v>0.1879</v>
      </c>
      <c r="N33" s="75">
        <v>0.1976</v>
      </c>
      <c r="O33" s="75">
        <v>0.2072</v>
      </c>
      <c r="P33" s="75">
        <v>0.2174</v>
      </c>
      <c r="Q33" s="75">
        <v>0.2273</v>
      </c>
      <c r="R33" s="75">
        <v>0.2364</v>
      </c>
      <c r="S33" s="75">
        <v>0.2449</v>
      </c>
      <c r="T33" s="75">
        <v>0.2534</v>
      </c>
      <c r="U33" s="75">
        <v>0.2624</v>
      </c>
      <c r="V33" s="75">
        <v>0.2718</v>
      </c>
      <c r="W33" s="75">
        <v>0.2801</v>
      </c>
      <c r="X33" s="75">
        <v>0.2886</v>
      </c>
      <c r="Y33" s="75">
        <v>0.2962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>
      <c r="A34" s="110">
        <v>2.5</v>
      </c>
      <c r="B34" s="110">
        <v>0.0585</v>
      </c>
      <c r="C34" s="110">
        <v>0.0685</v>
      </c>
      <c r="D34" s="110">
        <v>0.0765</v>
      </c>
      <c r="E34" s="110">
        <v>0.0848</v>
      </c>
      <c r="F34" s="110">
        <v>0.0945</v>
      </c>
      <c r="G34" s="110">
        <v>0.1041</v>
      </c>
      <c r="H34" s="110">
        <v>0.1134</v>
      </c>
      <c r="I34" s="110">
        <v>0.1228</v>
      </c>
      <c r="J34" s="110">
        <v>0.1322</v>
      </c>
      <c r="K34" s="110">
        <v>0.1409</v>
      </c>
      <c r="L34" s="75">
        <v>0.15</v>
      </c>
      <c r="M34" s="75">
        <v>0.1589</v>
      </c>
      <c r="N34" s="75">
        <v>0.1684</v>
      </c>
      <c r="O34" s="75">
        <v>0.1789</v>
      </c>
      <c r="P34" s="75">
        <v>0.1889</v>
      </c>
      <c r="Q34" s="75">
        <v>0.1975</v>
      </c>
      <c r="R34" s="75">
        <v>0.2067</v>
      </c>
      <c r="S34" s="75">
        <v>0.2141</v>
      </c>
      <c r="T34" s="75">
        <v>0.2221</v>
      </c>
      <c r="U34" s="75">
        <v>0.2296</v>
      </c>
      <c r="V34" s="75">
        <v>0.2373</v>
      </c>
      <c r="W34" s="75">
        <v>0.2459</v>
      </c>
      <c r="X34" s="75">
        <v>0.2526</v>
      </c>
      <c r="Y34" s="75">
        <v>0.2602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>
      <c r="A35" s="110">
        <v>1.25</v>
      </c>
      <c r="B35" s="110">
        <v>0.0643</v>
      </c>
      <c r="C35" s="110">
        <v>0.0707</v>
      </c>
      <c r="D35" s="110">
        <v>0.0745</v>
      </c>
      <c r="E35" s="110">
        <v>0.081</v>
      </c>
      <c r="F35" s="110">
        <v>0.0893</v>
      </c>
      <c r="G35" s="110">
        <v>0.0963</v>
      </c>
      <c r="H35" s="110">
        <v>0.1032</v>
      </c>
      <c r="I35" s="110">
        <v>0.1092</v>
      </c>
      <c r="J35" s="110">
        <v>0.1162</v>
      </c>
      <c r="K35" s="110">
        <v>0.1227</v>
      </c>
      <c r="L35" s="75">
        <v>0.129</v>
      </c>
      <c r="M35" s="75">
        <v>0.135</v>
      </c>
      <c r="N35" s="75">
        <v>0.1398</v>
      </c>
      <c r="O35" s="75">
        <v>0.1454</v>
      </c>
      <c r="P35" s="75">
        <v>0.1511</v>
      </c>
      <c r="Q35" s="75">
        <v>0.1566</v>
      </c>
      <c r="R35" s="75">
        <v>0.1615</v>
      </c>
      <c r="S35" s="75">
        <v>0.1674</v>
      </c>
      <c r="T35" s="75">
        <v>0.1715</v>
      </c>
      <c r="U35" s="75">
        <v>0.1759</v>
      </c>
      <c r="V35" s="75">
        <v>0.1826</v>
      </c>
      <c r="W35" s="75">
        <v>0.1886</v>
      </c>
      <c r="X35" s="75">
        <v>0.1933</v>
      </c>
      <c r="Y35" s="75">
        <v>0.1973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>
      <c r="A36" s="110">
        <v>0.625</v>
      </c>
      <c r="B36" s="110">
        <v>0.0598</v>
      </c>
      <c r="C36" s="110">
        <v>0.0671</v>
      </c>
      <c r="D36" s="110">
        <v>0.0731</v>
      </c>
      <c r="E36" s="110">
        <v>0.0799</v>
      </c>
      <c r="F36" s="110">
        <v>0.0878</v>
      </c>
      <c r="G36" s="110">
        <v>0.0951</v>
      </c>
      <c r="H36" s="110">
        <v>0.1023</v>
      </c>
      <c r="I36" s="110">
        <v>0.1085</v>
      </c>
      <c r="J36" s="110">
        <v>0.1155</v>
      </c>
      <c r="K36" s="110">
        <v>0.1213</v>
      </c>
      <c r="L36" s="75">
        <v>0.1268</v>
      </c>
      <c r="M36" s="75">
        <v>0.1329</v>
      </c>
      <c r="N36" s="75">
        <v>0.1388</v>
      </c>
      <c r="O36" s="75">
        <v>0.1445</v>
      </c>
      <c r="P36" s="75">
        <v>0.1496</v>
      </c>
      <c r="Q36" s="75">
        <v>0.1551</v>
      </c>
      <c r="R36" s="75">
        <v>0.159</v>
      </c>
      <c r="S36" s="75">
        <v>0.1636</v>
      </c>
      <c r="T36" s="75">
        <v>0.1679</v>
      </c>
      <c r="U36" s="75">
        <v>0.1722</v>
      </c>
      <c r="V36" s="75">
        <v>0.1753</v>
      </c>
      <c r="W36" s="75">
        <v>0.1797</v>
      </c>
      <c r="X36" s="75">
        <v>0.1823</v>
      </c>
      <c r="Y36" s="75">
        <v>0.1852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>
      <c r="A37" s="110">
        <v>0.3125</v>
      </c>
      <c r="B37" s="110">
        <v>0.0555</v>
      </c>
      <c r="C37" s="110">
        <v>0.0611</v>
      </c>
      <c r="D37" s="110">
        <v>0.0654</v>
      </c>
      <c r="E37" s="110">
        <v>0.0689</v>
      </c>
      <c r="F37" s="110">
        <v>0.0742</v>
      </c>
      <c r="G37" s="110">
        <v>0.0782</v>
      </c>
      <c r="H37" s="110">
        <v>0.083</v>
      </c>
      <c r="I37" s="110">
        <v>0.0872</v>
      </c>
      <c r="J37" s="110">
        <v>0.0911</v>
      </c>
      <c r="K37" s="110">
        <v>0.0947</v>
      </c>
      <c r="L37" s="75">
        <v>0.098</v>
      </c>
      <c r="M37" s="75">
        <v>0.1007</v>
      </c>
      <c r="N37" s="75">
        <v>0.1038</v>
      </c>
      <c r="O37" s="75">
        <v>0.1068</v>
      </c>
      <c r="P37" s="75">
        <v>0.1094</v>
      </c>
      <c r="Q37" s="75">
        <v>0.1117</v>
      </c>
      <c r="R37" s="75">
        <v>0.114</v>
      </c>
      <c r="S37" s="75">
        <v>0.1158</v>
      </c>
      <c r="T37" s="75">
        <v>0.1175</v>
      </c>
      <c r="U37" s="75">
        <v>0.119</v>
      </c>
      <c r="V37" s="75">
        <v>0.1205</v>
      </c>
      <c r="W37" s="75">
        <v>0.1213</v>
      </c>
      <c r="X37" s="75">
        <v>0.1224</v>
      </c>
      <c r="Y37" s="75">
        <v>0.1233</v>
      </c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>
      <c r="A38" s="110">
        <v>0.15625</v>
      </c>
      <c r="B38" s="110">
        <v>0.0533</v>
      </c>
      <c r="C38" s="110">
        <v>0.0628</v>
      </c>
      <c r="D38" s="110">
        <v>0.0684</v>
      </c>
      <c r="E38" s="110">
        <v>0.0722</v>
      </c>
      <c r="F38" s="110">
        <v>0.0708</v>
      </c>
      <c r="G38" s="110">
        <v>0.0763</v>
      </c>
      <c r="H38" s="110">
        <v>0.0832</v>
      </c>
      <c r="I38" s="110">
        <v>0.0841</v>
      </c>
      <c r="J38" s="110">
        <v>0.0874</v>
      </c>
      <c r="K38" s="110">
        <v>0.0879</v>
      </c>
      <c r="L38" s="75">
        <v>0.0886</v>
      </c>
      <c r="M38" s="75">
        <v>0.0894</v>
      </c>
      <c r="N38" s="75">
        <v>0.0893</v>
      </c>
      <c r="O38" s="75">
        <v>0.0891</v>
      </c>
      <c r="P38" s="75">
        <v>0.0906</v>
      </c>
      <c r="Q38" s="75">
        <v>0.0908</v>
      </c>
      <c r="R38" s="75">
        <v>0.0923</v>
      </c>
      <c r="S38" s="75">
        <v>0.093</v>
      </c>
      <c r="T38" s="75">
        <v>0.0931</v>
      </c>
      <c r="U38" s="75">
        <v>0.0936</v>
      </c>
      <c r="V38" s="75">
        <v>0.0941</v>
      </c>
      <c r="W38" s="75">
        <v>0.094</v>
      </c>
      <c r="X38" s="75">
        <v>0.0936</v>
      </c>
      <c r="Y38" s="75">
        <v>0.0944</v>
      </c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>
      <c r="A39" s="110">
        <v>0.078125</v>
      </c>
      <c r="B39" s="110">
        <v>0.0535</v>
      </c>
      <c r="C39" s="110">
        <v>0.0598</v>
      </c>
      <c r="D39" s="110">
        <v>0.0639</v>
      </c>
      <c r="E39" s="110">
        <v>0.0667</v>
      </c>
      <c r="F39" s="110">
        <v>0.0678</v>
      </c>
      <c r="G39" s="110">
        <v>0.0699</v>
      </c>
      <c r="H39" s="110">
        <v>0.072</v>
      </c>
      <c r="I39" s="110">
        <v>0.0731</v>
      </c>
      <c r="J39" s="110">
        <v>0.0744</v>
      </c>
      <c r="K39" s="110">
        <v>0.0756</v>
      </c>
      <c r="L39" s="75">
        <v>0.0762</v>
      </c>
      <c r="M39" s="75">
        <v>0.0767</v>
      </c>
      <c r="N39" s="75">
        <v>0.0756</v>
      </c>
      <c r="O39" s="75">
        <v>0.0763</v>
      </c>
      <c r="P39" s="75">
        <v>0.0774</v>
      </c>
      <c r="Q39" s="75">
        <v>0.0772</v>
      </c>
      <c r="R39" s="75">
        <v>0.0774</v>
      </c>
      <c r="S39" s="75">
        <v>0.0785</v>
      </c>
      <c r="T39" s="75">
        <v>0.0808</v>
      </c>
      <c r="U39" s="75">
        <v>0.0812</v>
      </c>
      <c r="V39" s="75">
        <v>0.0806</v>
      </c>
      <c r="W39" s="75">
        <v>0.0805</v>
      </c>
      <c r="X39" s="75">
        <v>0.0796</v>
      </c>
      <c r="Y39" s="75">
        <v>0.0806</v>
      </c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>
      <c r="A40" s="110">
        <v>0.0390625</v>
      </c>
      <c r="B40" s="110">
        <v>0.0539</v>
      </c>
      <c r="C40" s="110">
        <v>0.0566</v>
      </c>
      <c r="D40" s="110">
        <v>0.0597</v>
      </c>
      <c r="E40" s="110">
        <v>0.0614</v>
      </c>
      <c r="F40" s="110">
        <v>0.0642</v>
      </c>
      <c r="G40" s="110">
        <v>0.0656</v>
      </c>
      <c r="H40" s="110">
        <v>0.0676</v>
      </c>
      <c r="I40" s="110">
        <v>0.0731</v>
      </c>
      <c r="J40" s="110">
        <v>0.0666</v>
      </c>
      <c r="K40" s="110">
        <v>0.0661</v>
      </c>
      <c r="L40" s="75">
        <v>0.067</v>
      </c>
      <c r="M40" s="75">
        <v>0.0676</v>
      </c>
      <c r="N40" s="75">
        <v>0.0683</v>
      </c>
      <c r="O40" s="75">
        <v>0.0688</v>
      </c>
      <c r="P40" s="75">
        <v>0.068</v>
      </c>
      <c r="Q40" s="75">
        <v>0.0687</v>
      </c>
      <c r="R40" s="75">
        <v>0.0685</v>
      </c>
      <c r="S40" s="75">
        <v>0.0693</v>
      </c>
      <c r="T40" s="75">
        <v>0.0685</v>
      </c>
      <c r="U40" s="75">
        <v>0.0671</v>
      </c>
      <c r="V40" s="75">
        <v>0.0679</v>
      </c>
      <c r="W40" s="75">
        <v>0.0678</v>
      </c>
      <c r="X40" s="75">
        <v>0.0679</v>
      </c>
      <c r="Y40" s="75">
        <v>0.0676</v>
      </c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>
      <c r="A42" s="8"/>
      <c r="B42" s="8" t="s">
        <v>283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>
      <c r="A43" s="107">
        <v>5.0</v>
      </c>
      <c r="B43" s="9">
        <f t="shared" ref="B43:Y43" si="2">B44+2</f>
        <v>314</v>
      </c>
      <c r="C43" s="9">
        <f t="shared" si="2"/>
        <v>614</v>
      </c>
      <c r="D43" s="9">
        <f t="shared" si="2"/>
        <v>914</v>
      </c>
      <c r="E43" s="9">
        <f t="shared" si="2"/>
        <v>1214</v>
      </c>
      <c r="F43" s="9">
        <f t="shared" si="2"/>
        <v>1514</v>
      </c>
      <c r="G43" s="9">
        <f t="shared" si="2"/>
        <v>1814</v>
      </c>
      <c r="H43" s="9">
        <f t="shared" si="2"/>
        <v>2114</v>
      </c>
      <c r="I43" s="9">
        <f t="shared" si="2"/>
        <v>2414</v>
      </c>
      <c r="J43" s="9">
        <f t="shared" si="2"/>
        <v>2714</v>
      </c>
      <c r="K43" s="9">
        <f t="shared" si="2"/>
        <v>3014</v>
      </c>
      <c r="L43" s="9">
        <f t="shared" si="2"/>
        <v>3314</v>
      </c>
      <c r="M43" s="9">
        <f t="shared" si="2"/>
        <v>3614</v>
      </c>
      <c r="N43" s="9">
        <f t="shared" si="2"/>
        <v>3914</v>
      </c>
      <c r="O43" s="9">
        <f t="shared" si="2"/>
        <v>4214</v>
      </c>
      <c r="P43" s="9">
        <f t="shared" si="2"/>
        <v>4514</v>
      </c>
      <c r="Q43" s="9">
        <f t="shared" si="2"/>
        <v>4814</v>
      </c>
      <c r="R43" s="9">
        <f t="shared" si="2"/>
        <v>5114</v>
      </c>
      <c r="S43" s="9">
        <f t="shared" si="2"/>
        <v>5414</v>
      </c>
      <c r="T43" s="9">
        <f t="shared" si="2"/>
        <v>5714</v>
      </c>
      <c r="U43" s="9">
        <f t="shared" si="2"/>
        <v>6014</v>
      </c>
      <c r="V43" s="9">
        <f t="shared" si="2"/>
        <v>6314</v>
      </c>
      <c r="W43" s="9">
        <f t="shared" si="2"/>
        <v>6614</v>
      </c>
      <c r="X43" s="9">
        <f t="shared" si="2"/>
        <v>6914</v>
      </c>
      <c r="Y43" s="9">
        <f t="shared" si="2"/>
        <v>7214</v>
      </c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>
      <c r="A44" s="107">
        <v>2.5</v>
      </c>
      <c r="B44" s="9">
        <f t="shared" ref="B44:Y44" si="3">B45+2</f>
        <v>312</v>
      </c>
      <c r="C44" s="9">
        <f t="shared" si="3"/>
        <v>612</v>
      </c>
      <c r="D44" s="9">
        <f t="shared" si="3"/>
        <v>912</v>
      </c>
      <c r="E44" s="9">
        <f t="shared" si="3"/>
        <v>1212</v>
      </c>
      <c r="F44" s="9">
        <f t="shared" si="3"/>
        <v>1512</v>
      </c>
      <c r="G44" s="9">
        <f t="shared" si="3"/>
        <v>1812</v>
      </c>
      <c r="H44" s="9">
        <f t="shared" si="3"/>
        <v>2112</v>
      </c>
      <c r="I44" s="9">
        <f t="shared" si="3"/>
        <v>2412</v>
      </c>
      <c r="J44" s="9">
        <f t="shared" si="3"/>
        <v>2712</v>
      </c>
      <c r="K44" s="9">
        <f t="shared" si="3"/>
        <v>3012</v>
      </c>
      <c r="L44" s="9">
        <f t="shared" si="3"/>
        <v>3312</v>
      </c>
      <c r="M44" s="9">
        <f t="shared" si="3"/>
        <v>3612</v>
      </c>
      <c r="N44" s="9">
        <f t="shared" si="3"/>
        <v>3912</v>
      </c>
      <c r="O44" s="9">
        <f t="shared" si="3"/>
        <v>4212</v>
      </c>
      <c r="P44" s="9">
        <f t="shared" si="3"/>
        <v>4512</v>
      </c>
      <c r="Q44" s="9">
        <f t="shared" si="3"/>
        <v>4812</v>
      </c>
      <c r="R44" s="9">
        <f t="shared" si="3"/>
        <v>5112</v>
      </c>
      <c r="S44" s="9">
        <f t="shared" si="3"/>
        <v>5412</v>
      </c>
      <c r="T44" s="9">
        <f t="shared" si="3"/>
        <v>5712</v>
      </c>
      <c r="U44" s="9">
        <f t="shared" si="3"/>
        <v>6012</v>
      </c>
      <c r="V44" s="9">
        <f t="shared" si="3"/>
        <v>6312</v>
      </c>
      <c r="W44" s="9">
        <f t="shared" si="3"/>
        <v>6612</v>
      </c>
      <c r="X44" s="9">
        <f t="shared" si="3"/>
        <v>6912</v>
      </c>
      <c r="Y44" s="9">
        <f t="shared" si="3"/>
        <v>7212</v>
      </c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>
      <c r="A45" s="9">
        <v>1.25</v>
      </c>
      <c r="B45" s="9">
        <f t="shared" ref="B45:Y45" si="4">B46+2</f>
        <v>310</v>
      </c>
      <c r="C45" s="9">
        <f t="shared" si="4"/>
        <v>610</v>
      </c>
      <c r="D45" s="9">
        <f t="shared" si="4"/>
        <v>910</v>
      </c>
      <c r="E45" s="9">
        <f t="shared" si="4"/>
        <v>1210</v>
      </c>
      <c r="F45" s="9">
        <f t="shared" si="4"/>
        <v>1510</v>
      </c>
      <c r="G45" s="9">
        <f t="shared" si="4"/>
        <v>1810</v>
      </c>
      <c r="H45" s="9">
        <f t="shared" si="4"/>
        <v>2110</v>
      </c>
      <c r="I45" s="9">
        <f t="shared" si="4"/>
        <v>2410</v>
      </c>
      <c r="J45" s="9">
        <f t="shared" si="4"/>
        <v>2710</v>
      </c>
      <c r="K45" s="9">
        <f t="shared" si="4"/>
        <v>3010</v>
      </c>
      <c r="L45" s="9">
        <f t="shared" si="4"/>
        <v>3310</v>
      </c>
      <c r="M45" s="9">
        <f t="shared" si="4"/>
        <v>3610</v>
      </c>
      <c r="N45" s="9">
        <f t="shared" si="4"/>
        <v>3910</v>
      </c>
      <c r="O45" s="9">
        <f t="shared" si="4"/>
        <v>4210</v>
      </c>
      <c r="P45" s="9">
        <f t="shared" si="4"/>
        <v>4510</v>
      </c>
      <c r="Q45" s="9">
        <f t="shared" si="4"/>
        <v>4810</v>
      </c>
      <c r="R45" s="9">
        <f t="shared" si="4"/>
        <v>5110</v>
      </c>
      <c r="S45" s="9">
        <f t="shared" si="4"/>
        <v>5410</v>
      </c>
      <c r="T45" s="9">
        <f t="shared" si="4"/>
        <v>5710</v>
      </c>
      <c r="U45" s="9">
        <f t="shared" si="4"/>
        <v>6010</v>
      </c>
      <c r="V45" s="9">
        <f t="shared" si="4"/>
        <v>6310</v>
      </c>
      <c r="W45" s="9">
        <f t="shared" si="4"/>
        <v>6610</v>
      </c>
      <c r="X45" s="9">
        <f t="shared" si="4"/>
        <v>6910</v>
      </c>
      <c r="Y45" s="9">
        <f t="shared" si="4"/>
        <v>7210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>
      <c r="A46" s="9">
        <v>0.625</v>
      </c>
      <c r="B46" s="9">
        <f t="shared" ref="B46:Y46" si="5">B47+2</f>
        <v>308</v>
      </c>
      <c r="C46" s="9">
        <f t="shared" si="5"/>
        <v>608</v>
      </c>
      <c r="D46" s="9">
        <f t="shared" si="5"/>
        <v>908</v>
      </c>
      <c r="E46" s="9">
        <f t="shared" si="5"/>
        <v>1208</v>
      </c>
      <c r="F46" s="9">
        <f t="shared" si="5"/>
        <v>1508</v>
      </c>
      <c r="G46" s="9">
        <f t="shared" si="5"/>
        <v>1808</v>
      </c>
      <c r="H46" s="9">
        <f t="shared" si="5"/>
        <v>2108</v>
      </c>
      <c r="I46" s="9">
        <f t="shared" si="5"/>
        <v>2408</v>
      </c>
      <c r="J46" s="9">
        <f t="shared" si="5"/>
        <v>2708</v>
      </c>
      <c r="K46" s="9">
        <f t="shared" si="5"/>
        <v>3008</v>
      </c>
      <c r="L46" s="9">
        <f t="shared" si="5"/>
        <v>3308</v>
      </c>
      <c r="M46" s="9">
        <f t="shared" si="5"/>
        <v>3608</v>
      </c>
      <c r="N46" s="9">
        <f t="shared" si="5"/>
        <v>3908</v>
      </c>
      <c r="O46" s="9">
        <f t="shared" si="5"/>
        <v>4208</v>
      </c>
      <c r="P46" s="9">
        <f t="shared" si="5"/>
        <v>4508</v>
      </c>
      <c r="Q46" s="9">
        <f t="shared" si="5"/>
        <v>4808</v>
      </c>
      <c r="R46" s="9">
        <f t="shared" si="5"/>
        <v>5108</v>
      </c>
      <c r="S46" s="9">
        <f t="shared" si="5"/>
        <v>5408</v>
      </c>
      <c r="T46" s="9">
        <f t="shared" si="5"/>
        <v>5708</v>
      </c>
      <c r="U46" s="9">
        <f t="shared" si="5"/>
        <v>6008</v>
      </c>
      <c r="V46" s="9">
        <f t="shared" si="5"/>
        <v>6308</v>
      </c>
      <c r="W46" s="9">
        <f t="shared" si="5"/>
        <v>6608</v>
      </c>
      <c r="X46" s="9">
        <f t="shared" si="5"/>
        <v>6908</v>
      </c>
      <c r="Y46" s="9">
        <f t="shared" si="5"/>
        <v>7208</v>
      </c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>
      <c r="A47" s="9">
        <v>0.3125</v>
      </c>
      <c r="B47" s="9">
        <f t="shared" ref="B47:Y47" si="6">B48+2</f>
        <v>306</v>
      </c>
      <c r="C47" s="9">
        <f t="shared" si="6"/>
        <v>606</v>
      </c>
      <c r="D47" s="9">
        <f t="shared" si="6"/>
        <v>906</v>
      </c>
      <c r="E47" s="9">
        <f t="shared" si="6"/>
        <v>1206</v>
      </c>
      <c r="F47" s="9">
        <f t="shared" si="6"/>
        <v>1506</v>
      </c>
      <c r="G47" s="9">
        <f t="shared" si="6"/>
        <v>1806</v>
      </c>
      <c r="H47" s="9">
        <f t="shared" si="6"/>
        <v>2106</v>
      </c>
      <c r="I47" s="9">
        <f t="shared" si="6"/>
        <v>2406</v>
      </c>
      <c r="J47" s="9">
        <f t="shared" si="6"/>
        <v>2706</v>
      </c>
      <c r="K47" s="9">
        <f t="shared" si="6"/>
        <v>3006</v>
      </c>
      <c r="L47" s="9">
        <f t="shared" si="6"/>
        <v>3306</v>
      </c>
      <c r="M47" s="9">
        <f t="shared" si="6"/>
        <v>3606</v>
      </c>
      <c r="N47" s="9">
        <f t="shared" si="6"/>
        <v>3906</v>
      </c>
      <c r="O47" s="9">
        <f t="shared" si="6"/>
        <v>4206</v>
      </c>
      <c r="P47" s="9">
        <f t="shared" si="6"/>
        <v>4506</v>
      </c>
      <c r="Q47" s="9">
        <f t="shared" si="6"/>
        <v>4806</v>
      </c>
      <c r="R47" s="9">
        <f t="shared" si="6"/>
        <v>5106</v>
      </c>
      <c r="S47" s="9">
        <f t="shared" si="6"/>
        <v>5406</v>
      </c>
      <c r="T47" s="9">
        <f t="shared" si="6"/>
        <v>5706</v>
      </c>
      <c r="U47" s="9">
        <f t="shared" si="6"/>
        <v>6006</v>
      </c>
      <c r="V47" s="9">
        <f t="shared" si="6"/>
        <v>6306</v>
      </c>
      <c r="W47" s="9">
        <f t="shared" si="6"/>
        <v>6606</v>
      </c>
      <c r="X47" s="9">
        <f t="shared" si="6"/>
        <v>6906</v>
      </c>
      <c r="Y47" s="9">
        <f t="shared" si="6"/>
        <v>7206</v>
      </c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>
      <c r="A48" s="9">
        <v>0.15625</v>
      </c>
      <c r="B48" s="9">
        <f t="shared" ref="B48:Y48" si="7">B49+2</f>
        <v>304</v>
      </c>
      <c r="C48" s="9">
        <f t="shared" si="7"/>
        <v>604</v>
      </c>
      <c r="D48" s="9">
        <f t="shared" si="7"/>
        <v>904</v>
      </c>
      <c r="E48" s="9">
        <f t="shared" si="7"/>
        <v>1204</v>
      </c>
      <c r="F48" s="9">
        <f t="shared" si="7"/>
        <v>1504</v>
      </c>
      <c r="G48" s="9">
        <f t="shared" si="7"/>
        <v>1804</v>
      </c>
      <c r="H48" s="9">
        <f t="shared" si="7"/>
        <v>2104</v>
      </c>
      <c r="I48" s="9">
        <f t="shared" si="7"/>
        <v>2404</v>
      </c>
      <c r="J48" s="9">
        <f t="shared" si="7"/>
        <v>2704</v>
      </c>
      <c r="K48" s="9">
        <f t="shared" si="7"/>
        <v>3004</v>
      </c>
      <c r="L48" s="9">
        <f t="shared" si="7"/>
        <v>3304</v>
      </c>
      <c r="M48" s="9">
        <f t="shared" si="7"/>
        <v>3604</v>
      </c>
      <c r="N48" s="9">
        <f t="shared" si="7"/>
        <v>3904</v>
      </c>
      <c r="O48" s="9">
        <f t="shared" si="7"/>
        <v>4204</v>
      </c>
      <c r="P48" s="9">
        <f t="shared" si="7"/>
        <v>4504</v>
      </c>
      <c r="Q48" s="9">
        <f t="shared" si="7"/>
        <v>4804</v>
      </c>
      <c r="R48" s="9">
        <f t="shared" si="7"/>
        <v>5104</v>
      </c>
      <c r="S48" s="9">
        <f t="shared" si="7"/>
        <v>5404</v>
      </c>
      <c r="T48" s="9">
        <f t="shared" si="7"/>
        <v>5704</v>
      </c>
      <c r="U48" s="9">
        <f t="shared" si="7"/>
        <v>6004</v>
      </c>
      <c r="V48" s="9">
        <f t="shared" si="7"/>
        <v>6304</v>
      </c>
      <c r="W48" s="9">
        <f t="shared" si="7"/>
        <v>6604</v>
      </c>
      <c r="X48" s="9">
        <f t="shared" si="7"/>
        <v>6904</v>
      </c>
      <c r="Y48" s="9">
        <f t="shared" si="7"/>
        <v>7204</v>
      </c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>
      <c r="A49" s="9">
        <v>0.078125</v>
      </c>
      <c r="B49" s="9">
        <f t="shared" ref="B49:Y49" si="8">B50+2</f>
        <v>302</v>
      </c>
      <c r="C49" s="9">
        <f t="shared" si="8"/>
        <v>602</v>
      </c>
      <c r="D49" s="9">
        <f t="shared" si="8"/>
        <v>902</v>
      </c>
      <c r="E49" s="9">
        <f t="shared" si="8"/>
        <v>1202</v>
      </c>
      <c r="F49" s="9">
        <f t="shared" si="8"/>
        <v>1502</v>
      </c>
      <c r="G49" s="9">
        <f t="shared" si="8"/>
        <v>1802</v>
      </c>
      <c r="H49" s="9">
        <f t="shared" si="8"/>
        <v>2102</v>
      </c>
      <c r="I49" s="9">
        <f t="shared" si="8"/>
        <v>2402</v>
      </c>
      <c r="J49" s="9">
        <f t="shared" si="8"/>
        <v>2702</v>
      </c>
      <c r="K49" s="9">
        <f t="shared" si="8"/>
        <v>3002</v>
      </c>
      <c r="L49" s="9">
        <f t="shared" si="8"/>
        <v>3302</v>
      </c>
      <c r="M49" s="9">
        <f t="shared" si="8"/>
        <v>3602</v>
      </c>
      <c r="N49" s="9">
        <f t="shared" si="8"/>
        <v>3902</v>
      </c>
      <c r="O49" s="9">
        <f t="shared" si="8"/>
        <v>4202</v>
      </c>
      <c r="P49" s="9">
        <f t="shared" si="8"/>
        <v>4502</v>
      </c>
      <c r="Q49" s="9">
        <f t="shared" si="8"/>
        <v>4802</v>
      </c>
      <c r="R49" s="9">
        <f t="shared" si="8"/>
        <v>5102</v>
      </c>
      <c r="S49" s="9">
        <f t="shared" si="8"/>
        <v>5402</v>
      </c>
      <c r="T49" s="9">
        <f t="shared" si="8"/>
        <v>5702</v>
      </c>
      <c r="U49" s="9">
        <f t="shared" si="8"/>
        <v>6002</v>
      </c>
      <c r="V49" s="9">
        <f t="shared" si="8"/>
        <v>6302</v>
      </c>
      <c r="W49" s="9">
        <f t="shared" si="8"/>
        <v>6602</v>
      </c>
      <c r="X49" s="9">
        <f t="shared" si="8"/>
        <v>6902</v>
      </c>
      <c r="Y49" s="9">
        <f t="shared" si="8"/>
        <v>7202</v>
      </c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>
      <c r="A50" s="9">
        <v>0.039063</v>
      </c>
      <c r="B50" s="9">
        <f t="shared" ref="B50:Y50" si="9">C2*60</f>
        <v>300</v>
      </c>
      <c r="C50" s="9">
        <f t="shared" si="9"/>
        <v>600</v>
      </c>
      <c r="D50" s="9">
        <f t="shared" si="9"/>
        <v>900</v>
      </c>
      <c r="E50" s="9">
        <f t="shared" si="9"/>
        <v>1200</v>
      </c>
      <c r="F50" s="9">
        <f t="shared" si="9"/>
        <v>1500</v>
      </c>
      <c r="G50" s="9">
        <f t="shared" si="9"/>
        <v>1800</v>
      </c>
      <c r="H50" s="9">
        <f t="shared" si="9"/>
        <v>2100</v>
      </c>
      <c r="I50" s="9">
        <f t="shared" si="9"/>
        <v>2400</v>
      </c>
      <c r="J50" s="9">
        <f t="shared" si="9"/>
        <v>2700</v>
      </c>
      <c r="K50" s="9">
        <f t="shared" si="9"/>
        <v>3000</v>
      </c>
      <c r="L50" s="9">
        <f t="shared" si="9"/>
        <v>3300</v>
      </c>
      <c r="M50" s="9">
        <f t="shared" si="9"/>
        <v>3600</v>
      </c>
      <c r="N50" s="9">
        <f t="shared" si="9"/>
        <v>3900</v>
      </c>
      <c r="O50" s="9">
        <f t="shared" si="9"/>
        <v>4200</v>
      </c>
      <c r="P50" s="9">
        <f t="shared" si="9"/>
        <v>4500</v>
      </c>
      <c r="Q50" s="9">
        <f t="shared" si="9"/>
        <v>4800</v>
      </c>
      <c r="R50" s="9">
        <f t="shared" si="9"/>
        <v>5100</v>
      </c>
      <c r="S50" s="9">
        <f t="shared" si="9"/>
        <v>5400</v>
      </c>
      <c r="T50" s="9">
        <f t="shared" si="9"/>
        <v>5700</v>
      </c>
      <c r="U50" s="9">
        <f t="shared" si="9"/>
        <v>6000</v>
      </c>
      <c r="V50" s="9">
        <f t="shared" si="9"/>
        <v>6300</v>
      </c>
      <c r="W50" s="9">
        <f t="shared" si="9"/>
        <v>6600</v>
      </c>
      <c r="X50" s="9">
        <f t="shared" si="9"/>
        <v>6900</v>
      </c>
      <c r="Y50" s="9">
        <f t="shared" si="9"/>
        <v>7200</v>
      </c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>
      <c r="A52" s="8" t="s">
        <v>284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>
      <c r="A53" s="7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>
      <c r="A54" s="75">
        <v>5.0</v>
      </c>
      <c r="B54" s="9">
        <f t="shared" ref="B54:Y54" si="10">B55+2</f>
        <v>346</v>
      </c>
      <c r="C54" s="9">
        <f t="shared" si="10"/>
        <v>646</v>
      </c>
      <c r="D54" s="9">
        <f t="shared" si="10"/>
        <v>946</v>
      </c>
      <c r="E54" s="9">
        <f t="shared" si="10"/>
        <v>1246</v>
      </c>
      <c r="F54" s="9">
        <f t="shared" si="10"/>
        <v>1546</v>
      </c>
      <c r="G54" s="9">
        <f t="shared" si="10"/>
        <v>1846</v>
      </c>
      <c r="H54" s="9">
        <f t="shared" si="10"/>
        <v>2146</v>
      </c>
      <c r="I54" s="9">
        <f t="shared" si="10"/>
        <v>2446</v>
      </c>
      <c r="J54" s="9">
        <f t="shared" si="10"/>
        <v>2746</v>
      </c>
      <c r="K54" s="9">
        <f t="shared" si="10"/>
        <v>3046</v>
      </c>
      <c r="L54" s="9">
        <f t="shared" si="10"/>
        <v>3346</v>
      </c>
      <c r="M54" s="9">
        <f t="shared" si="10"/>
        <v>3646</v>
      </c>
      <c r="N54" s="9">
        <f t="shared" si="10"/>
        <v>3946</v>
      </c>
      <c r="O54" s="9">
        <f t="shared" si="10"/>
        <v>4246</v>
      </c>
      <c r="P54" s="9">
        <f t="shared" si="10"/>
        <v>4546</v>
      </c>
      <c r="Q54" s="9">
        <f t="shared" si="10"/>
        <v>4846</v>
      </c>
      <c r="R54" s="9">
        <f t="shared" si="10"/>
        <v>5146</v>
      </c>
      <c r="S54" s="9">
        <f t="shared" si="10"/>
        <v>5446</v>
      </c>
      <c r="T54" s="9">
        <f t="shared" si="10"/>
        <v>5746</v>
      </c>
      <c r="U54" s="9">
        <f t="shared" si="10"/>
        <v>6046</v>
      </c>
      <c r="V54" s="9">
        <f t="shared" si="10"/>
        <v>6346</v>
      </c>
      <c r="W54" s="9">
        <f t="shared" si="10"/>
        <v>6646</v>
      </c>
      <c r="X54" s="9">
        <f t="shared" si="10"/>
        <v>6946</v>
      </c>
      <c r="Y54" s="9">
        <f t="shared" si="10"/>
        <v>7246</v>
      </c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>
      <c r="A55" s="75">
        <v>2.5</v>
      </c>
      <c r="B55" s="9">
        <f t="shared" ref="B55:Y55" si="11">B56+2</f>
        <v>344</v>
      </c>
      <c r="C55" s="9">
        <f t="shared" si="11"/>
        <v>644</v>
      </c>
      <c r="D55" s="9">
        <f t="shared" si="11"/>
        <v>944</v>
      </c>
      <c r="E55" s="9">
        <f t="shared" si="11"/>
        <v>1244</v>
      </c>
      <c r="F55" s="9">
        <f t="shared" si="11"/>
        <v>1544</v>
      </c>
      <c r="G55" s="9">
        <f t="shared" si="11"/>
        <v>1844</v>
      </c>
      <c r="H55" s="9">
        <f t="shared" si="11"/>
        <v>2144</v>
      </c>
      <c r="I55" s="9">
        <f t="shared" si="11"/>
        <v>2444</v>
      </c>
      <c r="J55" s="9">
        <f t="shared" si="11"/>
        <v>2744</v>
      </c>
      <c r="K55" s="9">
        <f t="shared" si="11"/>
        <v>3044</v>
      </c>
      <c r="L55" s="9">
        <f t="shared" si="11"/>
        <v>3344</v>
      </c>
      <c r="M55" s="9">
        <f t="shared" si="11"/>
        <v>3644</v>
      </c>
      <c r="N55" s="9">
        <f t="shared" si="11"/>
        <v>3944</v>
      </c>
      <c r="O55" s="9">
        <f t="shared" si="11"/>
        <v>4244</v>
      </c>
      <c r="P55" s="9">
        <f t="shared" si="11"/>
        <v>4544</v>
      </c>
      <c r="Q55" s="9">
        <f t="shared" si="11"/>
        <v>4844</v>
      </c>
      <c r="R55" s="9">
        <f t="shared" si="11"/>
        <v>5144</v>
      </c>
      <c r="S55" s="9">
        <f t="shared" si="11"/>
        <v>5444</v>
      </c>
      <c r="T55" s="9">
        <f t="shared" si="11"/>
        <v>5744</v>
      </c>
      <c r="U55" s="9">
        <f t="shared" si="11"/>
        <v>6044</v>
      </c>
      <c r="V55" s="9">
        <f t="shared" si="11"/>
        <v>6344</v>
      </c>
      <c r="W55" s="9">
        <f t="shared" si="11"/>
        <v>6644</v>
      </c>
      <c r="X55" s="9">
        <f t="shared" si="11"/>
        <v>6944</v>
      </c>
      <c r="Y55" s="9">
        <f t="shared" si="11"/>
        <v>7244</v>
      </c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>
      <c r="A56" s="75">
        <v>1.25</v>
      </c>
      <c r="B56" s="9">
        <f t="shared" ref="B56:Y56" si="12">B57+2</f>
        <v>342</v>
      </c>
      <c r="C56" s="9">
        <f t="shared" si="12"/>
        <v>642</v>
      </c>
      <c r="D56" s="9">
        <f t="shared" si="12"/>
        <v>942</v>
      </c>
      <c r="E56" s="9">
        <f t="shared" si="12"/>
        <v>1242</v>
      </c>
      <c r="F56" s="9">
        <f t="shared" si="12"/>
        <v>1542</v>
      </c>
      <c r="G56" s="9">
        <f t="shared" si="12"/>
        <v>1842</v>
      </c>
      <c r="H56" s="9">
        <f t="shared" si="12"/>
        <v>2142</v>
      </c>
      <c r="I56" s="9">
        <f t="shared" si="12"/>
        <v>2442</v>
      </c>
      <c r="J56" s="9">
        <f t="shared" si="12"/>
        <v>2742</v>
      </c>
      <c r="K56" s="9">
        <f t="shared" si="12"/>
        <v>3042</v>
      </c>
      <c r="L56" s="9">
        <f t="shared" si="12"/>
        <v>3342</v>
      </c>
      <c r="M56" s="9">
        <f t="shared" si="12"/>
        <v>3642</v>
      </c>
      <c r="N56" s="9">
        <f t="shared" si="12"/>
        <v>3942</v>
      </c>
      <c r="O56" s="9">
        <f t="shared" si="12"/>
        <v>4242</v>
      </c>
      <c r="P56" s="9">
        <f t="shared" si="12"/>
        <v>4542</v>
      </c>
      <c r="Q56" s="9">
        <f t="shared" si="12"/>
        <v>4842</v>
      </c>
      <c r="R56" s="9">
        <f t="shared" si="12"/>
        <v>5142</v>
      </c>
      <c r="S56" s="9">
        <f t="shared" si="12"/>
        <v>5442</v>
      </c>
      <c r="T56" s="9">
        <f t="shared" si="12"/>
        <v>5742</v>
      </c>
      <c r="U56" s="9">
        <f t="shared" si="12"/>
        <v>6042</v>
      </c>
      <c r="V56" s="9">
        <f t="shared" si="12"/>
        <v>6342</v>
      </c>
      <c r="W56" s="9">
        <f t="shared" si="12"/>
        <v>6642</v>
      </c>
      <c r="X56" s="9">
        <f t="shared" si="12"/>
        <v>6942</v>
      </c>
      <c r="Y56" s="9">
        <f t="shared" si="12"/>
        <v>7242</v>
      </c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</row>
    <row r="57">
      <c r="A57" s="75">
        <v>0.625</v>
      </c>
      <c r="B57" s="9">
        <f t="shared" ref="B57:Y57" si="13">B58+2</f>
        <v>340</v>
      </c>
      <c r="C57" s="9">
        <f t="shared" si="13"/>
        <v>640</v>
      </c>
      <c r="D57" s="9">
        <f t="shared" si="13"/>
        <v>940</v>
      </c>
      <c r="E57" s="9">
        <f t="shared" si="13"/>
        <v>1240</v>
      </c>
      <c r="F57" s="9">
        <f t="shared" si="13"/>
        <v>1540</v>
      </c>
      <c r="G57" s="9">
        <f t="shared" si="13"/>
        <v>1840</v>
      </c>
      <c r="H57" s="9">
        <f t="shared" si="13"/>
        <v>2140</v>
      </c>
      <c r="I57" s="9">
        <f t="shared" si="13"/>
        <v>2440</v>
      </c>
      <c r="J57" s="9">
        <f t="shared" si="13"/>
        <v>2740</v>
      </c>
      <c r="K57" s="9">
        <f t="shared" si="13"/>
        <v>3040</v>
      </c>
      <c r="L57" s="9">
        <f t="shared" si="13"/>
        <v>3340</v>
      </c>
      <c r="M57" s="9">
        <f t="shared" si="13"/>
        <v>3640</v>
      </c>
      <c r="N57" s="9">
        <f t="shared" si="13"/>
        <v>3940</v>
      </c>
      <c r="O57" s="9">
        <f t="shared" si="13"/>
        <v>4240</v>
      </c>
      <c r="P57" s="9">
        <f t="shared" si="13"/>
        <v>4540</v>
      </c>
      <c r="Q57" s="9">
        <f t="shared" si="13"/>
        <v>4840</v>
      </c>
      <c r="R57" s="9">
        <f t="shared" si="13"/>
        <v>5140</v>
      </c>
      <c r="S57" s="9">
        <f t="shared" si="13"/>
        <v>5440</v>
      </c>
      <c r="T57" s="9">
        <f t="shared" si="13"/>
        <v>5740</v>
      </c>
      <c r="U57" s="9">
        <f t="shared" si="13"/>
        <v>6040</v>
      </c>
      <c r="V57" s="9">
        <f t="shared" si="13"/>
        <v>6340</v>
      </c>
      <c r="W57" s="9">
        <f t="shared" si="13"/>
        <v>6640</v>
      </c>
      <c r="X57" s="9">
        <f t="shared" si="13"/>
        <v>6940</v>
      </c>
      <c r="Y57" s="9">
        <f t="shared" si="13"/>
        <v>7240</v>
      </c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>
      <c r="A58" s="75">
        <v>0.3125</v>
      </c>
      <c r="B58" s="9">
        <f t="shared" ref="B58:Y58" si="14">B59+2</f>
        <v>338</v>
      </c>
      <c r="C58" s="9">
        <f t="shared" si="14"/>
        <v>638</v>
      </c>
      <c r="D58" s="9">
        <f t="shared" si="14"/>
        <v>938</v>
      </c>
      <c r="E58" s="9">
        <f t="shared" si="14"/>
        <v>1238</v>
      </c>
      <c r="F58" s="9">
        <f t="shared" si="14"/>
        <v>1538</v>
      </c>
      <c r="G58" s="9">
        <f t="shared" si="14"/>
        <v>1838</v>
      </c>
      <c r="H58" s="9">
        <f t="shared" si="14"/>
        <v>2138</v>
      </c>
      <c r="I58" s="9">
        <f t="shared" si="14"/>
        <v>2438</v>
      </c>
      <c r="J58" s="9">
        <f t="shared" si="14"/>
        <v>2738</v>
      </c>
      <c r="K58" s="9">
        <f t="shared" si="14"/>
        <v>3038</v>
      </c>
      <c r="L58" s="9">
        <f t="shared" si="14"/>
        <v>3338</v>
      </c>
      <c r="M58" s="9">
        <f t="shared" si="14"/>
        <v>3638</v>
      </c>
      <c r="N58" s="9">
        <f t="shared" si="14"/>
        <v>3938</v>
      </c>
      <c r="O58" s="9">
        <f t="shared" si="14"/>
        <v>4238</v>
      </c>
      <c r="P58" s="9">
        <f t="shared" si="14"/>
        <v>4538</v>
      </c>
      <c r="Q58" s="9">
        <f t="shared" si="14"/>
        <v>4838</v>
      </c>
      <c r="R58" s="9">
        <f t="shared" si="14"/>
        <v>5138</v>
      </c>
      <c r="S58" s="9">
        <f t="shared" si="14"/>
        <v>5438</v>
      </c>
      <c r="T58" s="9">
        <f t="shared" si="14"/>
        <v>5738</v>
      </c>
      <c r="U58" s="9">
        <f t="shared" si="14"/>
        <v>6038</v>
      </c>
      <c r="V58" s="9">
        <f t="shared" si="14"/>
        <v>6338</v>
      </c>
      <c r="W58" s="9">
        <f t="shared" si="14"/>
        <v>6638</v>
      </c>
      <c r="X58" s="9">
        <f t="shared" si="14"/>
        <v>6938</v>
      </c>
      <c r="Y58" s="9">
        <f t="shared" si="14"/>
        <v>7238</v>
      </c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</row>
    <row r="59">
      <c r="A59" s="75">
        <v>0.15625</v>
      </c>
      <c r="B59" s="9">
        <f t="shared" ref="B59:Y59" si="15">B60+2</f>
        <v>336</v>
      </c>
      <c r="C59" s="9">
        <f t="shared" si="15"/>
        <v>636</v>
      </c>
      <c r="D59" s="9">
        <f t="shared" si="15"/>
        <v>936</v>
      </c>
      <c r="E59" s="9">
        <f t="shared" si="15"/>
        <v>1236</v>
      </c>
      <c r="F59" s="9">
        <f t="shared" si="15"/>
        <v>1536</v>
      </c>
      <c r="G59" s="9">
        <f t="shared" si="15"/>
        <v>1836</v>
      </c>
      <c r="H59" s="9">
        <f t="shared" si="15"/>
        <v>2136</v>
      </c>
      <c r="I59" s="9">
        <f t="shared" si="15"/>
        <v>2436</v>
      </c>
      <c r="J59" s="9">
        <f t="shared" si="15"/>
        <v>2736</v>
      </c>
      <c r="K59" s="9">
        <f t="shared" si="15"/>
        <v>3036</v>
      </c>
      <c r="L59" s="9">
        <f t="shared" si="15"/>
        <v>3336</v>
      </c>
      <c r="M59" s="9">
        <f t="shared" si="15"/>
        <v>3636</v>
      </c>
      <c r="N59" s="9">
        <f t="shared" si="15"/>
        <v>3936</v>
      </c>
      <c r="O59" s="9">
        <f t="shared" si="15"/>
        <v>4236</v>
      </c>
      <c r="P59" s="9">
        <f t="shared" si="15"/>
        <v>4536</v>
      </c>
      <c r="Q59" s="9">
        <f t="shared" si="15"/>
        <v>4836</v>
      </c>
      <c r="R59" s="9">
        <f t="shared" si="15"/>
        <v>5136</v>
      </c>
      <c r="S59" s="9">
        <f t="shared" si="15"/>
        <v>5436</v>
      </c>
      <c r="T59" s="9">
        <f t="shared" si="15"/>
        <v>5736</v>
      </c>
      <c r="U59" s="9">
        <f t="shared" si="15"/>
        <v>6036</v>
      </c>
      <c r="V59" s="9">
        <f t="shared" si="15"/>
        <v>6336</v>
      </c>
      <c r="W59" s="9">
        <f t="shared" si="15"/>
        <v>6636</v>
      </c>
      <c r="X59" s="9">
        <f t="shared" si="15"/>
        <v>6936</v>
      </c>
      <c r="Y59" s="9">
        <f t="shared" si="15"/>
        <v>7236</v>
      </c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>
      <c r="A60" s="75">
        <v>0.078125</v>
      </c>
      <c r="B60" s="9">
        <f t="shared" ref="B60:Y60" si="16">B61+2</f>
        <v>334</v>
      </c>
      <c r="C60" s="9">
        <f t="shared" si="16"/>
        <v>634</v>
      </c>
      <c r="D60" s="9">
        <f t="shared" si="16"/>
        <v>934</v>
      </c>
      <c r="E60" s="9">
        <f t="shared" si="16"/>
        <v>1234</v>
      </c>
      <c r="F60" s="9">
        <f t="shared" si="16"/>
        <v>1534</v>
      </c>
      <c r="G60" s="9">
        <f t="shared" si="16"/>
        <v>1834</v>
      </c>
      <c r="H60" s="9">
        <f t="shared" si="16"/>
        <v>2134</v>
      </c>
      <c r="I60" s="9">
        <f t="shared" si="16"/>
        <v>2434</v>
      </c>
      <c r="J60" s="9">
        <f t="shared" si="16"/>
        <v>2734</v>
      </c>
      <c r="K60" s="9">
        <f t="shared" si="16"/>
        <v>3034</v>
      </c>
      <c r="L60" s="9">
        <f t="shared" si="16"/>
        <v>3334</v>
      </c>
      <c r="M60" s="9">
        <f t="shared" si="16"/>
        <v>3634</v>
      </c>
      <c r="N60" s="9">
        <f t="shared" si="16"/>
        <v>3934</v>
      </c>
      <c r="O60" s="9">
        <f t="shared" si="16"/>
        <v>4234</v>
      </c>
      <c r="P60" s="9">
        <f t="shared" si="16"/>
        <v>4534</v>
      </c>
      <c r="Q60" s="9">
        <f t="shared" si="16"/>
        <v>4834</v>
      </c>
      <c r="R60" s="9">
        <f t="shared" si="16"/>
        <v>5134</v>
      </c>
      <c r="S60" s="9">
        <f t="shared" si="16"/>
        <v>5434</v>
      </c>
      <c r="T60" s="9">
        <f t="shared" si="16"/>
        <v>5734</v>
      </c>
      <c r="U60" s="9">
        <f t="shared" si="16"/>
        <v>6034</v>
      </c>
      <c r="V60" s="9">
        <f t="shared" si="16"/>
        <v>6334</v>
      </c>
      <c r="W60" s="9">
        <f t="shared" si="16"/>
        <v>6634</v>
      </c>
      <c r="X60" s="9">
        <f t="shared" si="16"/>
        <v>6934</v>
      </c>
      <c r="Y60" s="9">
        <f t="shared" si="16"/>
        <v>7234</v>
      </c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</row>
    <row r="61">
      <c r="A61" s="75">
        <v>0.0390625</v>
      </c>
      <c r="B61" s="9">
        <f t="shared" ref="B61:Y61" si="17">B63+2</f>
        <v>332</v>
      </c>
      <c r="C61" s="9">
        <f t="shared" si="17"/>
        <v>632</v>
      </c>
      <c r="D61" s="9">
        <f t="shared" si="17"/>
        <v>932</v>
      </c>
      <c r="E61" s="9">
        <f t="shared" si="17"/>
        <v>1232</v>
      </c>
      <c r="F61" s="9">
        <f t="shared" si="17"/>
        <v>1532</v>
      </c>
      <c r="G61" s="9">
        <f t="shared" si="17"/>
        <v>1832</v>
      </c>
      <c r="H61" s="9">
        <f t="shared" si="17"/>
        <v>2132</v>
      </c>
      <c r="I61" s="9">
        <f t="shared" si="17"/>
        <v>2432</v>
      </c>
      <c r="J61" s="9">
        <f t="shared" si="17"/>
        <v>2732</v>
      </c>
      <c r="K61" s="9">
        <f t="shared" si="17"/>
        <v>3032</v>
      </c>
      <c r="L61" s="9">
        <f t="shared" si="17"/>
        <v>3332</v>
      </c>
      <c r="M61" s="9">
        <f t="shared" si="17"/>
        <v>3632</v>
      </c>
      <c r="N61" s="9">
        <f t="shared" si="17"/>
        <v>3932</v>
      </c>
      <c r="O61" s="9">
        <f t="shared" si="17"/>
        <v>4232</v>
      </c>
      <c r="P61" s="9">
        <f t="shared" si="17"/>
        <v>4532</v>
      </c>
      <c r="Q61" s="9">
        <f t="shared" si="17"/>
        <v>4832</v>
      </c>
      <c r="R61" s="9">
        <f t="shared" si="17"/>
        <v>5132</v>
      </c>
      <c r="S61" s="9">
        <f t="shared" si="17"/>
        <v>5432</v>
      </c>
      <c r="T61" s="9">
        <f t="shared" si="17"/>
        <v>5732</v>
      </c>
      <c r="U61" s="9">
        <f t="shared" si="17"/>
        <v>6032</v>
      </c>
      <c r="V61" s="9">
        <f t="shared" si="17"/>
        <v>6332</v>
      </c>
      <c r="W61" s="9">
        <f t="shared" si="17"/>
        <v>6632</v>
      </c>
      <c r="X61" s="9">
        <f t="shared" si="17"/>
        <v>6932</v>
      </c>
      <c r="Y61" s="9">
        <f t="shared" si="17"/>
        <v>7232</v>
      </c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>
      <c r="A63" s="75">
        <v>5.0</v>
      </c>
      <c r="B63" s="9">
        <f t="shared" ref="B63:Y63" si="18">B64+2</f>
        <v>330</v>
      </c>
      <c r="C63" s="9">
        <f t="shared" si="18"/>
        <v>630</v>
      </c>
      <c r="D63" s="9">
        <f t="shared" si="18"/>
        <v>930</v>
      </c>
      <c r="E63" s="9">
        <f t="shared" si="18"/>
        <v>1230</v>
      </c>
      <c r="F63" s="9">
        <f t="shared" si="18"/>
        <v>1530</v>
      </c>
      <c r="G63" s="9">
        <f t="shared" si="18"/>
        <v>1830</v>
      </c>
      <c r="H63" s="9">
        <f t="shared" si="18"/>
        <v>2130</v>
      </c>
      <c r="I63" s="9">
        <f t="shared" si="18"/>
        <v>2430</v>
      </c>
      <c r="J63" s="9">
        <f t="shared" si="18"/>
        <v>2730</v>
      </c>
      <c r="K63" s="9">
        <f t="shared" si="18"/>
        <v>3030</v>
      </c>
      <c r="L63" s="9">
        <f t="shared" si="18"/>
        <v>3330</v>
      </c>
      <c r="M63" s="9">
        <f t="shared" si="18"/>
        <v>3630</v>
      </c>
      <c r="N63" s="9">
        <f t="shared" si="18"/>
        <v>3930</v>
      </c>
      <c r="O63" s="9">
        <f t="shared" si="18"/>
        <v>4230</v>
      </c>
      <c r="P63" s="9">
        <f t="shared" si="18"/>
        <v>4530</v>
      </c>
      <c r="Q63" s="9">
        <f t="shared" si="18"/>
        <v>4830</v>
      </c>
      <c r="R63" s="9">
        <f t="shared" si="18"/>
        <v>5130</v>
      </c>
      <c r="S63" s="9">
        <f t="shared" si="18"/>
        <v>5430</v>
      </c>
      <c r="T63" s="9">
        <f t="shared" si="18"/>
        <v>5730</v>
      </c>
      <c r="U63" s="9">
        <f t="shared" si="18"/>
        <v>6030</v>
      </c>
      <c r="V63" s="9">
        <f t="shared" si="18"/>
        <v>6330</v>
      </c>
      <c r="W63" s="9">
        <f t="shared" si="18"/>
        <v>6630</v>
      </c>
      <c r="X63" s="9">
        <f t="shared" si="18"/>
        <v>6930</v>
      </c>
      <c r="Y63" s="9">
        <f t="shared" si="18"/>
        <v>7230</v>
      </c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>
      <c r="A64" s="75">
        <v>2.5</v>
      </c>
      <c r="B64" s="9">
        <f t="shared" ref="B64:Y64" si="19">B65+2</f>
        <v>328</v>
      </c>
      <c r="C64" s="9">
        <f t="shared" si="19"/>
        <v>628</v>
      </c>
      <c r="D64" s="9">
        <f t="shared" si="19"/>
        <v>928</v>
      </c>
      <c r="E64" s="9">
        <f t="shared" si="19"/>
        <v>1228</v>
      </c>
      <c r="F64" s="9">
        <f t="shared" si="19"/>
        <v>1528</v>
      </c>
      <c r="G64" s="9">
        <f t="shared" si="19"/>
        <v>1828</v>
      </c>
      <c r="H64" s="9">
        <f t="shared" si="19"/>
        <v>2128</v>
      </c>
      <c r="I64" s="9">
        <f t="shared" si="19"/>
        <v>2428</v>
      </c>
      <c r="J64" s="9">
        <f t="shared" si="19"/>
        <v>2728</v>
      </c>
      <c r="K64" s="9">
        <f t="shared" si="19"/>
        <v>3028</v>
      </c>
      <c r="L64" s="9">
        <f t="shared" si="19"/>
        <v>3328</v>
      </c>
      <c r="M64" s="9">
        <f t="shared" si="19"/>
        <v>3628</v>
      </c>
      <c r="N64" s="9">
        <f t="shared" si="19"/>
        <v>3928</v>
      </c>
      <c r="O64" s="9">
        <f t="shared" si="19"/>
        <v>4228</v>
      </c>
      <c r="P64" s="9">
        <f t="shared" si="19"/>
        <v>4528</v>
      </c>
      <c r="Q64" s="9">
        <f t="shared" si="19"/>
        <v>4828</v>
      </c>
      <c r="R64" s="9">
        <f t="shared" si="19"/>
        <v>5128</v>
      </c>
      <c r="S64" s="9">
        <f t="shared" si="19"/>
        <v>5428</v>
      </c>
      <c r="T64" s="9">
        <f t="shared" si="19"/>
        <v>5728</v>
      </c>
      <c r="U64" s="9">
        <f t="shared" si="19"/>
        <v>6028</v>
      </c>
      <c r="V64" s="9">
        <f t="shared" si="19"/>
        <v>6328</v>
      </c>
      <c r="W64" s="9">
        <f t="shared" si="19"/>
        <v>6628</v>
      </c>
      <c r="X64" s="9">
        <f t="shared" si="19"/>
        <v>6928</v>
      </c>
      <c r="Y64" s="9">
        <f t="shared" si="19"/>
        <v>7228</v>
      </c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</row>
    <row r="65">
      <c r="A65" s="75">
        <v>1.25</v>
      </c>
      <c r="B65" s="9">
        <f t="shared" ref="B65:Y65" si="20">B66+2</f>
        <v>326</v>
      </c>
      <c r="C65" s="9">
        <f t="shared" si="20"/>
        <v>626</v>
      </c>
      <c r="D65" s="9">
        <f t="shared" si="20"/>
        <v>926</v>
      </c>
      <c r="E65" s="9">
        <f t="shared" si="20"/>
        <v>1226</v>
      </c>
      <c r="F65" s="9">
        <f t="shared" si="20"/>
        <v>1526</v>
      </c>
      <c r="G65" s="9">
        <f t="shared" si="20"/>
        <v>1826</v>
      </c>
      <c r="H65" s="9">
        <f t="shared" si="20"/>
        <v>2126</v>
      </c>
      <c r="I65" s="9">
        <f t="shared" si="20"/>
        <v>2426</v>
      </c>
      <c r="J65" s="9">
        <f t="shared" si="20"/>
        <v>2726</v>
      </c>
      <c r="K65" s="9">
        <f t="shared" si="20"/>
        <v>3026</v>
      </c>
      <c r="L65" s="9">
        <f t="shared" si="20"/>
        <v>3326</v>
      </c>
      <c r="M65" s="9">
        <f t="shared" si="20"/>
        <v>3626</v>
      </c>
      <c r="N65" s="9">
        <f t="shared" si="20"/>
        <v>3926</v>
      </c>
      <c r="O65" s="9">
        <f t="shared" si="20"/>
        <v>4226</v>
      </c>
      <c r="P65" s="9">
        <f t="shared" si="20"/>
        <v>4526</v>
      </c>
      <c r="Q65" s="9">
        <f t="shared" si="20"/>
        <v>4826</v>
      </c>
      <c r="R65" s="9">
        <f t="shared" si="20"/>
        <v>5126</v>
      </c>
      <c r="S65" s="9">
        <f t="shared" si="20"/>
        <v>5426</v>
      </c>
      <c r="T65" s="9">
        <f t="shared" si="20"/>
        <v>5726</v>
      </c>
      <c r="U65" s="9">
        <f t="shared" si="20"/>
        <v>6026</v>
      </c>
      <c r="V65" s="9">
        <f t="shared" si="20"/>
        <v>6326</v>
      </c>
      <c r="W65" s="9">
        <f t="shared" si="20"/>
        <v>6626</v>
      </c>
      <c r="X65" s="9">
        <f t="shared" si="20"/>
        <v>6926</v>
      </c>
      <c r="Y65" s="9">
        <f t="shared" si="20"/>
        <v>7226</v>
      </c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</row>
    <row r="66">
      <c r="A66" s="75">
        <v>0.625</v>
      </c>
      <c r="B66" s="9">
        <f t="shared" ref="B66:Y66" si="21">B67+2</f>
        <v>324</v>
      </c>
      <c r="C66" s="9">
        <f t="shared" si="21"/>
        <v>624</v>
      </c>
      <c r="D66" s="9">
        <f t="shared" si="21"/>
        <v>924</v>
      </c>
      <c r="E66" s="9">
        <f t="shared" si="21"/>
        <v>1224</v>
      </c>
      <c r="F66" s="9">
        <f t="shared" si="21"/>
        <v>1524</v>
      </c>
      <c r="G66" s="9">
        <f t="shared" si="21"/>
        <v>1824</v>
      </c>
      <c r="H66" s="9">
        <f t="shared" si="21"/>
        <v>2124</v>
      </c>
      <c r="I66" s="9">
        <f t="shared" si="21"/>
        <v>2424</v>
      </c>
      <c r="J66" s="9">
        <f t="shared" si="21"/>
        <v>2724</v>
      </c>
      <c r="K66" s="9">
        <f t="shared" si="21"/>
        <v>3024</v>
      </c>
      <c r="L66" s="9">
        <f t="shared" si="21"/>
        <v>3324</v>
      </c>
      <c r="M66" s="9">
        <f t="shared" si="21"/>
        <v>3624</v>
      </c>
      <c r="N66" s="9">
        <f t="shared" si="21"/>
        <v>3924</v>
      </c>
      <c r="O66" s="9">
        <f t="shared" si="21"/>
        <v>4224</v>
      </c>
      <c r="P66" s="9">
        <f t="shared" si="21"/>
        <v>4524</v>
      </c>
      <c r="Q66" s="9">
        <f t="shared" si="21"/>
        <v>4824</v>
      </c>
      <c r="R66" s="9">
        <f t="shared" si="21"/>
        <v>5124</v>
      </c>
      <c r="S66" s="9">
        <f t="shared" si="21"/>
        <v>5424</v>
      </c>
      <c r="T66" s="9">
        <f t="shared" si="21"/>
        <v>5724</v>
      </c>
      <c r="U66" s="9">
        <f t="shared" si="21"/>
        <v>6024</v>
      </c>
      <c r="V66" s="9">
        <f t="shared" si="21"/>
        <v>6324</v>
      </c>
      <c r="W66" s="9">
        <f t="shared" si="21"/>
        <v>6624</v>
      </c>
      <c r="X66" s="9">
        <f t="shared" si="21"/>
        <v>6924</v>
      </c>
      <c r="Y66" s="9">
        <f t="shared" si="21"/>
        <v>7224</v>
      </c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>
      <c r="A67" s="75">
        <v>0.3125</v>
      </c>
      <c r="B67" s="9">
        <f t="shared" ref="B67:Y67" si="22">B68+2</f>
        <v>322</v>
      </c>
      <c r="C67" s="9">
        <f t="shared" si="22"/>
        <v>622</v>
      </c>
      <c r="D67" s="9">
        <f t="shared" si="22"/>
        <v>922</v>
      </c>
      <c r="E67" s="9">
        <f t="shared" si="22"/>
        <v>1222</v>
      </c>
      <c r="F67" s="9">
        <f t="shared" si="22"/>
        <v>1522</v>
      </c>
      <c r="G67" s="9">
        <f t="shared" si="22"/>
        <v>1822</v>
      </c>
      <c r="H67" s="9">
        <f t="shared" si="22"/>
        <v>2122</v>
      </c>
      <c r="I67" s="9">
        <f t="shared" si="22"/>
        <v>2422</v>
      </c>
      <c r="J67" s="9">
        <f t="shared" si="22"/>
        <v>2722</v>
      </c>
      <c r="K67" s="9">
        <f t="shared" si="22"/>
        <v>3022</v>
      </c>
      <c r="L67" s="9">
        <f t="shared" si="22"/>
        <v>3322</v>
      </c>
      <c r="M67" s="9">
        <f t="shared" si="22"/>
        <v>3622</v>
      </c>
      <c r="N67" s="9">
        <f t="shared" si="22"/>
        <v>3922</v>
      </c>
      <c r="O67" s="9">
        <f t="shared" si="22"/>
        <v>4222</v>
      </c>
      <c r="P67" s="9">
        <f t="shared" si="22"/>
        <v>4522</v>
      </c>
      <c r="Q67" s="9">
        <f t="shared" si="22"/>
        <v>4822</v>
      </c>
      <c r="R67" s="9">
        <f t="shared" si="22"/>
        <v>5122</v>
      </c>
      <c r="S67" s="9">
        <f t="shared" si="22"/>
        <v>5422</v>
      </c>
      <c r="T67" s="9">
        <f t="shared" si="22"/>
        <v>5722</v>
      </c>
      <c r="U67" s="9">
        <f t="shared" si="22"/>
        <v>6022</v>
      </c>
      <c r="V67" s="9">
        <f t="shared" si="22"/>
        <v>6322</v>
      </c>
      <c r="W67" s="9">
        <f t="shared" si="22"/>
        <v>6622</v>
      </c>
      <c r="X67" s="9">
        <f t="shared" si="22"/>
        <v>6922</v>
      </c>
      <c r="Y67" s="9">
        <f t="shared" si="22"/>
        <v>7222</v>
      </c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</row>
    <row r="68">
      <c r="A68" s="75">
        <v>0.15625</v>
      </c>
      <c r="B68" s="9">
        <f t="shared" ref="B68:Y68" si="23">B69+2</f>
        <v>320</v>
      </c>
      <c r="C68" s="9">
        <f t="shared" si="23"/>
        <v>620</v>
      </c>
      <c r="D68" s="9">
        <f t="shared" si="23"/>
        <v>920</v>
      </c>
      <c r="E68" s="9">
        <f t="shared" si="23"/>
        <v>1220</v>
      </c>
      <c r="F68" s="9">
        <f t="shared" si="23"/>
        <v>1520</v>
      </c>
      <c r="G68" s="9">
        <f t="shared" si="23"/>
        <v>1820</v>
      </c>
      <c r="H68" s="9">
        <f t="shared" si="23"/>
        <v>2120</v>
      </c>
      <c r="I68" s="9">
        <f t="shared" si="23"/>
        <v>2420</v>
      </c>
      <c r="J68" s="9">
        <f t="shared" si="23"/>
        <v>2720</v>
      </c>
      <c r="K68" s="9">
        <f t="shared" si="23"/>
        <v>3020</v>
      </c>
      <c r="L68" s="9">
        <f t="shared" si="23"/>
        <v>3320</v>
      </c>
      <c r="M68" s="9">
        <f t="shared" si="23"/>
        <v>3620</v>
      </c>
      <c r="N68" s="9">
        <f t="shared" si="23"/>
        <v>3920</v>
      </c>
      <c r="O68" s="9">
        <f t="shared" si="23"/>
        <v>4220</v>
      </c>
      <c r="P68" s="9">
        <f t="shared" si="23"/>
        <v>4520</v>
      </c>
      <c r="Q68" s="9">
        <f t="shared" si="23"/>
        <v>4820</v>
      </c>
      <c r="R68" s="9">
        <f t="shared" si="23"/>
        <v>5120</v>
      </c>
      <c r="S68" s="9">
        <f t="shared" si="23"/>
        <v>5420</v>
      </c>
      <c r="T68" s="9">
        <f t="shared" si="23"/>
        <v>5720</v>
      </c>
      <c r="U68" s="9">
        <f t="shared" si="23"/>
        <v>6020</v>
      </c>
      <c r="V68" s="9">
        <f t="shared" si="23"/>
        <v>6320</v>
      </c>
      <c r="W68" s="9">
        <f t="shared" si="23"/>
        <v>6620</v>
      </c>
      <c r="X68" s="9">
        <f t="shared" si="23"/>
        <v>6920</v>
      </c>
      <c r="Y68" s="9">
        <f t="shared" si="23"/>
        <v>7220</v>
      </c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</row>
    <row r="69">
      <c r="A69" s="75">
        <v>0.078125</v>
      </c>
      <c r="B69" s="9">
        <f t="shared" ref="B69:Y69" si="24">B70+2</f>
        <v>318</v>
      </c>
      <c r="C69" s="9">
        <f t="shared" si="24"/>
        <v>618</v>
      </c>
      <c r="D69" s="9">
        <f t="shared" si="24"/>
        <v>918</v>
      </c>
      <c r="E69" s="9">
        <f t="shared" si="24"/>
        <v>1218</v>
      </c>
      <c r="F69" s="9">
        <f t="shared" si="24"/>
        <v>1518</v>
      </c>
      <c r="G69" s="9">
        <f t="shared" si="24"/>
        <v>1818</v>
      </c>
      <c r="H69" s="9">
        <f t="shared" si="24"/>
        <v>2118</v>
      </c>
      <c r="I69" s="9">
        <f t="shared" si="24"/>
        <v>2418</v>
      </c>
      <c r="J69" s="9">
        <f t="shared" si="24"/>
        <v>2718</v>
      </c>
      <c r="K69" s="9">
        <f t="shared" si="24"/>
        <v>3018</v>
      </c>
      <c r="L69" s="9">
        <f t="shared" si="24"/>
        <v>3318</v>
      </c>
      <c r="M69" s="9">
        <f t="shared" si="24"/>
        <v>3618</v>
      </c>
      <c r="N69" s="9">
        <f t="shared" si="24"/>
        <v>3918</v>
      </c>
      <c r="O69" s="9">
        <f t="shared" si="24"/>
        <v>4218</v>
      </c>
      <c r="P69" s="9">
        <f t="shared" si="24"/>
        <v>4518</v>
      </c>
      <c r="Q69" s="9">
        <f t="shared" si="24"/>
        <v>4818</v>
      </c>
      <c r="R69" s="9">
        <f t="shared" si="24"/>
        <v>5118</v>
      </c>
      <c r="S69" s="9">
        <f t="shared" si="24"/>
        <v>5418</v>
      </c>
      <c r="T69" s="9">
        <f t="shared" si="24"/>
        <v>5718</v>
      </c>
      <c r="U69" s="9">
        <f t="shared" si="24"/>
        <v>6018</v>
      </c>
      <c r="V69" s="9">
        <f t="shared" si="24"/>
        <v>6318</v>
      </c>
      <c r="W69" s="9">
        <f t="shared" si="24"/>
        <v>6618</v>
      </c>
      <c r="X69" s="9">
        <f t="shared" si="24"/>
        <v>6918</v>
      </c>
      <c r="Y69" s="9">
        <f t="shared" si="24"/>
        <v>7218</v>
      </c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</row>
    <row r="70">
      <c r="A70" s="75">
        <v>0.0390625</v>
      </c>
      <c r="B70" s="9">
        <f t="shared" ref="B70:Y70" si="25">B72+2</f>
        <v>316</v>
      </c>
      <c r="C70" s="9">
        <f t="shared" si="25"/>
        <v>616</v>
      </c>
      <c r="D70" s="9">
        <f t="shared" si="25"/>
        <v>916</v>
      </c>
      <c r="E70" s="9">
        <f t="shared" si="25"/>
        <v>1216</v>
      </c>
      <c r="F70" s="9">
        <f t="shared" si="25"/>
        <v>1516</v>
      </c>
      <c r="G70" s="9">
        <f t="shared" si="25"/>
        <v>1816</v>
      </c>
      <c r="H70" s="9">
        <f t="shared" si="25"/>
        <v>2116</v>
      </c>
      <c r="I70" s="9">
        <f t="shared" si="25"/>
        <v>2416</v>
      </c>
      <c r="J70" s="9">
        <f t="shared" si="25"/>
        <v>2716</v>
      </c>
      <c r="K70" s="9">
        <f t="shared" si="25"/>
        <v>3016</v>
      </c>
      <c r="L70" s="9">
        <f t="shared" si="25"/>
        <v>3316</v>
      </c>
      <c r="M70" s="9">
        <f t="shared" si="25"/>
        <v>3616</v>
      </c>
      <c r="N70" s="9">
        <f t="shared" si="25"/>
        <v>3916</v>
      </c>
      <c r="O70" s="9">
        <f t="shared" si="25"/>
        <v>4216</v>
      </c>
      <c r="P70" s="9">
        <f t="shared" si="25"/>
        <v>4516</v>
      </c>
      <c r="Q70" s="9">
        <f t="shared" si="25"/>
        <v>4816</v>
      </c>
      <c r="R70" s="9">
        <f t="shared" si="25"/>
        <v>5116</v>
      </c>
      <c r="S70" s="9">
        <f t="shared" si="25"/>
        <v>5416</v>
      </c>
      <c r="T70" s="9">
        <f t="shared" si="25"/>
        <v>5716</v>
      </c>
      <c r="U70" s="9">
        <f t="shared" si="25"/>
        <v>6016</v>
      </c>
      <c r="V70" s="9">
        <f t="shared" si="25"/>
        <v>6316</v>
      </c>
      <c r="W70" s="9">
        <f t="shared" si="25"/>
        <v>6616</v>
      </c>
      <c r="X70" s="9">
        <f t="shared" si="25"/>
        <v>6916</v>
      </c>
      <c r="Y70" s="9">
        <f t="shared" si="25"/>
        <v>7216</v>
      </c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</row>
    <row r="72">
      <c r="A72" s="75">
        <v>5.0</v>
      </c>
      <c r="B72" s="9">
        <f t="shared" ref="B72:Y72" si="26">B73+2</f>
        <v>314</v>
      </c>
      <c r="C72" s="9">
        <f t="shared" si="26"/>
        <v>614</v>
      </c>
      <c r="D72" s="9">
        <f t="shared" si="26"/>
        <v>914</v>
      </c>
      <c r="E72" s="9">
        <f t="shared" si="26"/>
        <v>1214</v>
      </c>
      <c r="F72" s="9">
        <f t="shared" si="26"/>
        <v>1514</v>
      </c>
      <c r="G72" s="9">
        <f t="shared" si="26"/>
        <v>1814</v>
      </c>
      <c r="H72" s="9">
        <f t="shared" si="26"/>
        <v>2114</v>
      </c>
      <c r="I72" s="9">
        <f t="shared" si="26"/>
        <v>2414</v>
      </c>
      <c r="J72" s="9">
        <f t="shared" si="26"/>
        <v>2714</v>
      </c>
      <c r="K72" s="9">
        <f t="shared" si="26"/>
        <v>3014</v>
      </c>
      <c r="L72" s="9">
        <f t="shared" si="26"/>
        <v>3314</v>
      </c>
      <c r="M72" s="9">
        <f t="shared" si="26"/>
        <v>3614</v>
      </c>
      <c r="N72" s="9">
        <f t="shared" si="26"/>
        <v>3914</v>
      </c>
      <c r="O72" s="9">
        <f t="shared" si="26"/>
        <v>4214</v>
      </c>
      <c r="P72" s="9">
        <f t="shared" si="26"/>
        <v>4514</v>
      </c>
      <c r="Q72" s="9">
        <f t="shared" si="26"/>
        <v>4814</v>
      </c>
      <c r="R72" s="9">
        <f t="shared" si="26"/>
        <v>5114</v>
      </c>
      <c r="S72" s="9">
        <f t="shared" si="26"/>
        <v>5414</v>
      </c>
      <c r="T72" s="9">
        <f t="shared" si="26"/>
        <v>5714</v>
      </c>
      <c r="U72" s="9">
        <f t="shared" si="26"/>
        <v>6014</v>
      </c>
      <c r="V72" s="9">
        <f t="shared" si="26"/>
        <v>6314</v>
      </c>
      <c r="W72" s="9">
        <f t="shared" si="26"/>
        <v>6614</v>
      </c>
      <c r="X72" s="9">
        <f t="shared" si="26"/>
        <v>6914</v>
      </c>
      <c r="Y72" s="9">
        <f t="shared" si="26"/>
        <v>7214</v>
      </c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</row>
    <row r="73">
      <c r="A73" s="75">
        <v>2.5</v>
      </c>
      <c r="B73" s="9">
        <f t="shared" ref="B73:Y73" si="27">B74+2</f>
        <v>312</v>
      </c>
      <c r="C73" s="9">
        <f t="shared" si="27"/>
        <v>612</v>
      </c>
      <c r="D73" s="9">
        <f t="shared" si="27"/>
        <v>912</v>
      </c>
      <c r="E73" s="9">
        <f t="shared" si="27"/>
        <v>1212</v>
      </c>
      <c r="F73" s="9">
        <f t="shared" si="27"/>
        <v>1512</v>
      </c>
      <c r="G73" s="9">
        <f t="shared" si="27"/>
        <v>1812</v>
      </c>
      <c r="H73" s="9">
        <f t="shared" si="27"/>
        <v>2112</v>
      </c>
      <c r="I73" s="9">
        <f t="shared" si="27"/>
        <v>2412</v>
      </c>
      <c r="J73" s="9">
        <f t="shared" si="27"/>
        <v>2712</v>
      </c>
      <c r="K73" s="9">
        <f t="shared" si="27"/>
        <v>3012</v>
      </c>
      <c r="L73" s="9">
        <f t="shared" si="27"/>
        <v>3312</v>
      </c>
      <c r="M73" s="9">
        <f t="shared" si="27"/>
        <v>3612</v>
      </c>
      <c r="N73" s="9">
        <f t="shared" si="27"/>
        <v>3912</v>
      </c>
      <c r="O73" s="9">
        <f t="shared" si="27"/>
        <v>4212</v>
      </c>
      <c r="P73" s="9">
        <f t="shared" si="27"/>
        <v>4512</v>
      </c>
      <c r="Q73" s="9">
        <f t="shared" si="27"/>
        <v>4812</v>
      </c>
      <c r="R73" s="9">
        <f t="shared" si="27"/>
        <v>5112</v>
      </c>
      <c r="S73" s="9">
        <f t="shared" si="27"/>
        <v>5412</v>
      </c>
      <c r="T73" s="9">
        <f t="shared" si="27"/>
        <v>5712</v>
      </c>
      <c r="U73" s="9">
        <f t="shared" si="27"/>
        <v>6012</v>
      </c>
      <c r="V73" s="9">
        <f t="shared" si="27"/>
        <v>6312</v>
      </c>
      <c r="W73" s="9">
        <f t="shared" si="27"/>
        <v>6612</v>
      </c>
      <c r="X73" s="9">
        <f t="shared" si="27"/>
        <v>6912</v>
      </c>
      <c r="Y73" s="9">
        <f t="shared" si="27"/>
        <v>7212</v>
      </c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</row>
    <row r="74">
      <c r="A74" s="75">
        <v>1.25</v>
      </c>
      <c r="B74" s="9">
        <f t="shared" ref="B74:Y74" si="28">B75+2</f>
        <v>310</v>
      </c>
      <c r="C74" s="9">
        <f t="shared" si="28"/>
        <v>610</v>
      </c>
      <c r="D74" s="9">
        <f t="shared" si="28"/>
        <v>910</v>
      </c>
      <c r="E74" s="9">
        <f t="shared" si="28"/>
        <v>1210</v>
      </c>
      <c r="F74" s="9">
        <f t="shared" si="28"/>
        <v>1510</v>
      </c>
      <c r="G74" s="9">
        <f t="shared" si="28"/>
        <v>1810</v>
      </c>
      <c r="H74" s="9">
        <f t="shared" si="28"/>
        <v>2110</v>
      </c>
      <c r="I74" s="9">
        <f t="shared" si="28"/>
        <v>2410</v>
      </c>
      <c r="J74" s="9">
        <f t="shared" si="28"/>
        <v>2710</v>
      </c>
      <c r="K74" s="9">
        <f t="shared" si="28"/>
        <v>3010</v>
      </c>
      <c r="L74" s="9">
        <f t="shared" si="28"/>
        <v>3310</v>
      </c>
      <c r="M74" s="9">
        <f t="shared" si="28"/>
        <v>3610</v>
      </c>
      <c r="N74" s="9">
        <f t="shared" si="28"/>
        <v>3910</v>
      </c>
      <c r="O74" s="9">
        <f t="shared" si="28"/>
        <v>4210</v>
      </c>
      <c r="P74" s="9">
        <f t="shared" si="28"/>
        <v>4510</v>
      </c>
      <c r="Q74" s="9">
        <f t="shared" si="28"/>
        <v>4810</v>
      </c>
      <c r="R74" s="9">
        <f t="shared" si="28"/>
        <v>5110</v>
      </c>
      <c r="S74" s="9">
        <f t="shared" si="28"/>
        <v>5410</v>
      </c>
      <c r="T74" s="9">
        <f t="shared" si="28"/>
        <v>5710</v>
      </c>
      <c r="U74" s="9">
        <f t="shared" si="28"/>
        <v>6010</v>
      </c>
      <c r="V74" s="9">
        <f t="shared" si="28"/>
        <v>6310</v>
      </c>
      <c r="W74" s="9">
        <f t="shared" si="28"/>
        <v>6610</v>
      </c>
      <c r="X74" s="9">
        <f t="shared" si="28"/>
        <v>6910</v>
      </c>
      <c r="Y74" s="9">
        <f t="shared" si="28"/>
        <v>7210</v>
      </c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</row>
    <row r="75">
      <c r="A75" s="75">
        <v>0.625</v>
      </c>
      <c r="B75" s="9">
        <f t="shared" ref="B75:Y75" si="29">B76+2</f>
        <v>308</v>
      </c>
      <c r="C75" s="9">
        <f t="shared" si="29"/>
        <v>608</v>
      </c>
      <c r="D75" s="9">
        <f t="shared" si="29"/>
        <v>908</v>
      </c>
      <c r="E75" s="9">
        <f t="shared" si="29"/>
        <v>1208</v>
      </c>
      <c r="F75" s="9">
        <f t="shared" si="29"/>
        <v>1508</v>
      </c>
      <c r="G75" s="9">
        <f t="shared" si="29"/>
        <v>1808</v>
      </c>
      <c r="H75" s="9">
        <f t="shared" si="29"/>
        <v>2108</v>
      </c>
      <c r="I75" s="9">
        <f t="shared" si="29"/>
        <v>2408</v>
      </c>
      <c r="J75" s="9">
        <f t="shared" si="29"/>
        <v>2708</v>
      </c>
      <c r="K75" s="9">
        <f t="shared" si="29"/>
        <v>3008</v>
      </c>
      <c r="L75" s="9">
        <f t="shared" si="29"/>
        <v>3308</v>
      </c>
      <c r="M75" s="9">
        <f t="shared" si="29"/>
        <v>3608</v>
      </c>
      <c r="N75" s="9">
        <f t="shared" si="29"/>
        <v>3908</v>
      </c>
      <c r="O75" s="9">
        <f t="shared" si="29"/>
        <v>4208</v>
      </c>
      <c r="P75" s="9">
        <f t="shared" si="29"/>
        <v>4508</v>
      </c>
      <c r="Q75" s="9">
        <f t="shared" si="29"/>
        <v>4808</v>
      </c>
      <c r="R75" s="9">
        <f t="shared" si="29"/>
        <v>5108</v>
      </c>
      <c r="S75" s="9">
        <f t="shared" si="29"/>
        <v>5408</v>
      </c>
      <c r="T75" s="9">
        <f t="shared" si="29"/>
        <v>5708</v>
      </c>
      <c r="U75" s="9">
        <f t="shared" si="29"/>
        <v>6008</v>
      </c>
      <c r="V75" s="9">
        <f t="shared" si="29"/>
        <v>6308</v>
      </c>
      <c r="W75" s="9">
        <f t="shared" si="29"/>
        <v>6608</v>
      </c>
      <c r="X75" s="9">
        <f t="shared" si="29"/>
        <v>6908</v>
      </c>
      <c r="Y75" s="9">
        <f t="shared" si="29"/>
        <v>7208</v>
      </c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</row>
    <row r="76">
      <c r="A76" s="75">
        <v>0.3125</v>
      </c>
      <c r="B76" s="9">
        <f t="shared" ref="B76:Y76" si="30">B77+2</f>
        <v>306</v>
      </c>
      <c r="C76" s="9">
        <f t="shared" si="30"/>
        <v>606</v>
      </c>
      <c r="D76" s="9">
        <f t="shared" si="30"/>
        <v>906</v>
      </c>
      <c r="E76" s="9">
        <f t="shared" si="30"/>
        <v>1206</v>
      </c>
      <c r="F76" s="9">
        <f t="shared" si="30"/>
        <v>1506</v>
      </c>
      <c r="G76" s="9">
        <f t="shared" si="30"/>
        <v>1806</v>
      </c>
      <c r="H76" s="9">
        <f t="shared" si="30"/>
        <v>2106</v>
      </c>
      <c r="I76" s="9">
        <f t="shared" si="30"/>
        <v>2406</v>
      </c>
      <c r="J76" s="9">
        <f t="shared" si="30"/>
        <v>2706</v>
      </c>
      <c r="K76" s="9">
        <f t="shared" si="30"/>
        <v>3006</v>
      </c>
      <c r="L76" s="9">
        <f t="shared" si="30"/>
        <v>3306</v>
      </c>
      <c r="M76" s="9">
        <f t="shared" si="30"/>
        <v>3606</v>
      </c>
      <c r="N76" s="9">
        <f t="shared" si="30"/>
        <v>3906</v>
      </c>
      <c r="O76" s="9">
        <f t="shared" si="30"/>
        <v>4206</v>
      </c>
      <c r="P76" s="9">
        <f t="shared" si="30"/>
        <v>4506</v>
      </c>
      <c r="Q76" s="9">
        <f t="shared" si="30"/>
        <v>4806</v>
      </c>
      <c r="R76" s="9">
        <f t="shared" si="30"/>
        <v>5106</v>
      </c>
      <c r="S76" s="9">
        <f t="shared" si="30"/>
        <v>5406</v>
      </c>
      <c r="T76" s="9">
        <f t="shared" si="30"/>
        <v>5706</v>
      </c>
      <c r="U76" s="9">
        <f t="shared" si="30"/>
        <v>6006</v>
      </c>
      <c r="V76" s="9">
        <f t="shared" si="30"/>
        <v>6306</v>
      </c>
      <c r="W76" s="9">
        <f t="shared" si="30"/>
        <v>6606</v>
      </c>
      <c r="X76" s="9">
        <f t="shared" si="30"/>
        <v>6906</v>
      </c>
      <c r="Y76" s="9">
        <f t="shared" si="30"/>
        <v>7206</v>
      </c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</row>
    <row r="77">
      <c r="A77" s="75">
        <v>0.15625</v>
      </c>
      <c r="B77" s="9">
        <f t="shared" ref="B77:Y77" si="31">B78+2</f>
        <v>304</v>
      </c>
      <c r="C77" s="9">
        <f t="shared" si="31"/>
        <v>604</v>
      </c>
      <c r="D77" s="9">
        <f t="shared" si="31"/>
        <v>904</v>
      </c>
      <c r="E77" s="9">
        <f t="shared" si="31"/>
        <v>1204</v>
      </c>
      <c r="F77" s="9">
        <f t="shared" si="31"/>
        <v>1504</v>
      </c>
      <c r="G77" s="9">
        <f t="shared" si="31"/>
        <v>1804</v>
      </c>
      <c r="H77" s="9">
        <f t="shared" si="31"/>
        <v>2104</v>
      </c>
      <c r="I77" s="9">
        <f t="shared" si="31"/>
        <v>2404</v>
      </c>
      <c r="J77" s="9">
        <f t="shared" si="31"/>
        <v>2704</v>
      </c>
      <c r="K77" s="9">
        <f t="shared" si="31"/>
        <v>3004</v>
      </c>
      <c r="L77" s="9">
        <f t="shared" si="31"/>
        <v>3304</v>
      </c>
      <c r="M77" s="9">
        <f t="shared" si="31"/>
        <v>3604</v>
      </c>
      <c r="N77" s="9">
        <f t="shared" si="31"/>
        <v>3904</v>
      </c>
      <c r="O77" s="9">
        <f t="shared" si="31"/>
        <v>4204</v>
      </c>
      <c r="P77" s="9">
        <f t="shared" si="31"/>
        <v>4504</v>
      </c>
      <c r="Q77" s="9">
        <f t="shared" si="31"/>
        <v>4804</v>
      </c>
      <c r="R77" s="9">
        <f t="shared" si="31"/>
        <v>5104</v>
      </c>
      <c r="S77" s="9">
        <f t="shared" si="31"/>
        <v>5404</v>
      </c>
      <c r="T77" s="9">
        <f t="shared" si="31"/>
        <v>5704</v>
      </c>
      <c r="U77" s="9">
        <f t="shared" si="31"/>
        <v>6004</v>
      </c>
      <c r="V77" s="9">
        <f t="shared" si="31"/>
        <v>6304</v>
      </c>
      <c r="W77" s="9">
        <f t="shared" si="31"/>
        <v>6604</v>
      </c>
      <c r="X77" s="9">
        <f t="shared" si="31"/>
        <v>6904</v>
      </c>
      <c r="Y77" s="9">
        <f t="shared" si="31"/>
        <v>7204</v>
      </c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</row>
    <row r="78">
      <c r="A78" s="75">
        <v>0.078125</v>
      </c>
      <c r="B78" s="9">
        <f t="shared" ref="B78:Y78" si="32">B79+2</f>
        <v>302</v>
      </c>
      <c r="C78" s="9">
        <f t="shared" si="32"/>
        <v>602</v>
      </c>
      <c r="D78" s="9">
        <f t="shared" si="32"/>
        <v>902</v>
      </c>
      <c r="E78" s="9">
        <f t="shared" si="32"/>
        <v>1202</v>
      </c>
      <c r="F78" s="9">
        <f t="shared" si="32"/>
        <v>1502</v>
      </c>
      <c r="G78" s="9">
        <f t="shared" si="32"/>
        <v>1802</v>
      </c>
      <c r="H78" s="9">
        <f t="shared" si="32"/>
        <v>2102</v>
      </c>
      <c r="I78" s="9">
        <f t="shared" si="32"/>
        <v>2402</v>
      </c>
      <c r="J78" s="9">
        <f t="shared" si="32"/>
        <v>2702</v>
      </c>
      <c r="K78" s="9">
        <f t="shared" si="32"/>
        <v>3002</v>
      </c>
      <c r="L78" s="9">
        <f t="shared" si="32"/>
        <v>3302</v>
      </c>
      <c r="M78" s="9">
        <f t="shared" si="32"/>
        <v>3602</v>
      </c>
      <c r="N78" s="9">
        <f t="shared" si="32"/>
        <v>3902</v>
      </c>
      <c r="O78" s="9">
        <f t="shared" si="32"/>
        <v>4202</v>
      </c>
      <c r="P78" s="9">
        <f t="shared" si="32"/>
        <v>4502</v>
      </c>
      <c r="Q78" s="9">
        <f t="shared" si="32"/>
        <v>4802</v>
      </c>
      <c r="R78" s="9">
        <f t="shared" si="32"/>
        <v>5102</v>
      </c>
      <c r="S78" s="9">
        <f t="shared" si="32"/>
        <v>5402</v>
      </c>
      <c r="T78" s="9">
        <f t="shared" si="32"/>
        <v>5702</v>
      </c>
      <c r="U78" s="9">
        <f t="shared" si="32"/>
        <v>6002</v>
      </c>
      <c r="V78" s="9">
        <f t="shared" si="32"/>
        <v>6302</v>
      </c>
      <c r="W78" s="9">
        <f t="shared" si="32"/>
        <v>6602</v>
      </c>
      <c r="X78" s="9">
        <f t="shared" si="32"/>
        <v>6902</v>
      </c>
      <c r="Y78" s="9">
        <f t="shared" si="32"/>
        <v>7202</v>
      </c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</row>
    <row r="79">
      <c r="A79" s="75">
        <v>0.0390625</v>
      </c>
      <c r="B79" s="9">
        <f t="shared" ref="B79:Y79" si="33">C2*60</f>
        <v>300</v>
      </c>
      <c r="C79" s="9">
        <f t="shared" si="33"/>
        <v>600</v>
      </c>
      <c r="D79" s="9">
        <f t="shared" si="33"/>
        <v>900</v>
      </c>
      <c r="E79" s="9">
        <f t="shared" si="33"/>
        <v>1200</v>
      </c>
      <c r="F79" s="9">
        <f t="shared" si="33"/>
        <v>1500</v>
      </c>
      <c r="G79" s="9">
        <f t="shared" si="33"/>
        <v>1800</v>
      </c>
      <c r="H79" s="9">
        <f t="shared" si="33"/>
        <v>2100</v>
      </c>
      <c r="I79" s="9">
        <f t="shared" si="33"/>
        <v>2400</v>
      </c>
      <c r="J79" s="9">
        <f t="shared" si="33"/>
        <v>2700</v>
      </c>
      <c r="K79" s="9">
        <f t="shared" si="33"/>
        <v>3000</v>
      </c>
      <c r="L79" s="9">
        <f t="shared" si="33"/>
        <v>3300</v>
      </c>
      <c r="M79" s="9">
        <f t="shared" si="33"/>
        <v>3600</v>
      </c>
      <c r="N79" s="9">
        <f t="shared" si="33"/>
        <v>3900</v>
      </c>
      <c r="O79" s="9">
        <f t="shared" si="33"/>
        <v>4200</v>
      </c>
      <c r="P79" s="9">
        <f t="shared" si="33"/>
        <v>4500</v>
      </c>
      <c r="Q79" s="9">
        <f t="shared" si="33"/>
        <v>4800</v>
      </c>
      <c r="R79" s="9">
        <f t="shared" si="33"/>
        <v>5100</v>
      </c>
      <c r="S79" s="9">
        <f t="shared" si="33"/>
        <v>5400</v>
      </c>
      <c r="T79" s="9">
        <f t="shared" si="33"/>
        <v>5700</v>
      </c>
      <c r="U79" s="9">
        <f t="shared" si="33"/>
        <v>6000</v>
      </c>
      <c r="V79" s="9">
        <f t="shared" si="33"/>
        <v>6300</v>
      </c>
      <c r="W79" s="9">
        <f t="shared" si="33"/>
        <v>6600</v>
      </c>
      <c r="X79" s="9">
        <f t="shared" si="33"/>
        <v>6900</v>
      </c>
      <c r="Y79" s="9">
        <f t="shared" si="33"/>
        <v>7200</v>
      </c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</row>
    <row r="80">
      <c r="A80" s="75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</row>
    <row r="81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</row>
    <row r="82">
      <c r="A82" s="75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</row>
    <row r="83">
      <c r="A83" s="75" t="s">
        <v>285</v>
      </c>
      <c r="B83" s="8" t="s">
        <v>276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</row>
    <row r="84">
      <c r="A84" s="8"/>
      <c r="B84" s="102">
        <v>0.0</v>
      </c>
      <c r="C84" s="102">
        <v>2.0</v>
      </c>
      <c r="D84" s="102">
        <v>4.0</v>
      </c>
      <c r="E84" s="102">
        <v>6.0</v>
      </c>
      <c r="F84" s="102">
        <v>8.0</v>
      </c>
      <c r="G84" s="102">
        <v>10.0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</row>
    <row r="85">
      <c r="A85" s="102">
        <v>3.2</v>
      </c>
      <c r="B85" s="102">
        <v>0.11550000309944153</v>
      </c>
      <c r="C85" s="102">
        <v>0.11840000003576279</v>
      </c>
      <c r="D85" s="102">
        <v>0.12080000340938568</v>
      </c>
      <c r="E85" s="102">
        <v>0.12460000067949295</v>
      </c>
      <c r="F85" s="102">
        <v>0.13339999318122864</v>
      </c>
      <c r="G85" s="102">
        <v>0.13590000569820404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</row>
    <row r="86">
      <c r="A86" s="102">
        <v>1.6</v>
      </c>
      <c r="B86" s="102">
        <v>0.11069999635219574</v>
      </c>
      <c r="C86" s="102">
        <v>0.11410000175237656</v>
      </c>
      <c r="D86" s="102">
        <v>0.11680000275373459</v>
      </c>
      <c r="E86" s="102">
        <v>0.11860000342130661</v>
      </c>
      <c r="F86" s="102">
        <v>0.12080000340938568</v>
      </c>
      <c r="G86" s="102">
        <v>0.12219999730587006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</row>
    <row r="87">
      <c r="A87" s="102">
        <v>0.8</v>
      </c>
      <c r="B87" s="102">
        <v>0.10930000245571136</v>
      </c>
      <c r="C87" s="102">
        <v>0.11060000211000443</v>
      </c>
      <c r="D87" s="102">
        <v>0.11259999871253967</v>
      </c>
      <c r="E87" s="102">
        <v>0.11330000311136246</v>
      </c>
      <c r="F87" s="102">
        <v>0.1145000010728836</v>
      </c>
      <c r="G87" s="102">
        <v>0.11559999734163284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</row>
    <row r="88">
      <c r="A88" s="102">
        <f t="shared" ref="A88:A91" si="34">A87/2</f>
        <v>0.4</v>
      </c>
      <c r="B88" s="102">
        <v>0.10429999977350235</v>
      </c>
      <c r="C88" s="102">
        <v>0.10719999670982361</v>
      </c>
      <c r="D88" s="102">
        <v>0.11089999973773956</v>
      </c>
      <c r="E88" s="102">
        <v>0.11649999767541885</v>
      </c>
      <c r="F88" s="102">
        <v>0.1264999955892563</v>
      </c>
      <c r="G88" s="102">
        <v>0.13289999961853027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</row>
    <row r="89">
      <c r="A89" s="102">
        <f t="shared" si="34"/>
        <v>0.2</v>
      </c>
      <c r="B89" s="102">
        <v>0.10689999908208847</v>
      </c>
      <c r="C89" s="102">
        <v>0.10970000177621841</v>
      </c>
      <c r="D89" s="102">
        <v>0.11089999973773956</v>
      </c>
      <c r="E89" s="102">
        <v>0.11219999939203262</v>
      </c>
      <c r="F89" s="102">
        <v>0.11330000311136246</v>
      </c>
      <c r="G89" s="102">
        <v>0.11429999768733978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</row>
    <row r="90">
      <c r="A90" s="102">
        <f t="shared" si="34"/>
        <v>0.1</v>
      </c>
      <c r="B90" s="102">
        <v>0.11630000174045563</v>
      </c>
      <c r="C90" s="102">
        <v>0.11879999935626984</v>
      </c>
      <c r="D90" s="102">
        <v>0.12030000239610672</v>
      </c>
      <c r="E90" s="102">
        <v>0.12250000238418579</v>
      </c>
      <c r="F90" s="102">
        <v>0.1225999966263771</v>
      </c>
      <c r="G90" s="102">
        <v>0.12380000203847885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</row>
    <row r="91">
      <c r="A91" s="102">
        <f t="shared" si="34"/>
        <v>0.05</v>
      </c>
      <c r="B91" s="102">
        <v>0.10819999873638153</v>
      </c>
      <c r="C91" s="102">
        <v>0.10970000177621841</v>
      </c>
      <c r="D91" s="102">
        <v>0.1111999973654747</v>
      </c>
      <c r="E91" s="102">
        <v>0.11150000244379044</v>
      </c>
      <c r="F91" s="102">
        <v>0.1111999973654747</v>
      </c>
      <c r="G91" s="102">
        <v>0.11190000176429749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</row>
    <row r="92">
      <c r="A92" s="75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>
      <c r="A93" s="75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>
      <c r="A94" s="102">
        <v>3.2</v>
      </c>
      <c r="B94" s="102">
        <v>0.11959999799728394</v>
      </c>
      <c r="C94" s="102">
        <v>0.12219999730587006</v>
      </c>
      <c r="D94" s="102">
        <v>0.12439999729394913</v>
      </c>
      <c r="E94" s="102">
        <v>0.1264999955892563</v>
      </c>
      <c r="F94" s="102">
        <v>0.1290999948978424</v>
      </c>
      <c r="G94" s="102">
        <v>0.13130000233650208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</row>
    <row r="95">
      <c r="A95" s="102">
        <v>1.6</v>
      </c>
      <c r="B95" s="102">
        <v>0.1185000017285347</v>
      </c>
      <c r="C95" s="102">
        <v>0.120899997651577</v>
      </c>
      <c r="D95" s="102">
        <v>0.12229999899864197</v>
      </c>
      <c r="E95" s="102">
        <v>0.12319999933242798</v>
      </c>
      <c r="F95" s="102">
        <v>0.12460000067949295</v>
      </c>
      <c r="G95" s="102">
        <v>0.1256999969482422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</row>
    <row r="96">
      <c r="A96" s="102">
        <v>0.8</v>
      </c>
      <c r="B96" s="102">
        <v>0.11760000139474869</v>
      </c>
      <c r="C96" s="102">
        <v>0.12049999833106995</v>
      </c>
      <c r="D96" s="102">
        <v>0.12330000102519989</v>
      </c>
      <c r="E96" s="102">
        <v>0.12430000305175781</v>
      </c>
      <c r="F96" s="102">
        <v>0.125900000333786</v>
      </c>
      <c r="G96" s="102">
        <v>0.12729999423027039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</row>
    <row r="97">
      <c r="A97" s="102">
        <f t="shared" ref="A97:A100" si="35">A96/2</f>
        <v>0.4</v>
      </c>
      <c r="B97" s="102">
        <v>0.11020000278949738</v>
      </c>
      <c r="C97" s="102">
        <v>0.1137000024318695</v>
      </c>
      <c r="D97" s="102">
        <v>0.11590000241994858</v>
      </c>
      <c r="E97" s="102">
        <v>0.11749999970197678</v>
      </c>
      <c r="F97" s="102">
        <v>0.11879999935626984</v>
      </c>
      <c r="G97" s="102">
        <v>0.11980000138282776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</row>
    <row r="98">
      <c r="A98" s="102">
        <f t="shared" si="35"/>
        <v>0.2</v>
      </c>
      <c r="B98" s="102">
        <v>0.133200004696846</v>
      </c>
      <c r="C98" s="102">
        <v>0.14079999923706055</v>
      </c>
      <c r="D98" s="102">
        <v>0.1469999998807907</v>
      </c>
      <c r="E98" s="102">
        <v>0.15060000121593475</v>
      </c>
      <c r="F98" s="102">
        <v>0.15129999816417694</v>
      </c>
      <c r="G98" s="102">
        <v>0.1517000049352646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</row>
    <row r="99">
      <c r="A99" s="102">
        <f t="shared" si="35"/>
        <v>0.1</v>
      </c>
      <c r="B99" s="102">
        <v>0.10859999805688858</v>
      </c>
      <c r="C99" s="102">
        <v>0.11140000075101852</v>
      </c>
      <c r="D99" s="102">
        <v>0.11249999701976776</v>
      </c>
      <c r="E99" s="102">
        <v>0.11330000311136246</v>
      </c>
      <c r="F99" s="102">
        <v>0.11429999768733978</v>
      </c>
      <c r="G99" s="102">
        <v>0.11509999632835388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</row>
    <row r="100">
      <c r="A100" s="102">
        <f t="shared" si="35"/>
        <v>0.05</v>
      </c>
      <c r="B100" s="102">
        <v>0.1160999983549118</v>
      </c>
      <c r="C100" s="102">
        <v>0.11810000240802765</v>
      </c>
      <c r="D100" s="102">
        <v>0.11990000307559967</v>
      </c>
      <c r="E100" s="102">
        <v>0.1200999990105629</v>
      </c>
      <c r="F100" s="102">
        <v>0.12110000103712082</v>
      </c>
      <c r="G100" s="102">
        <v>0.12189999967813492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</row>
    <row r="101">
      <c r="A101" s="75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</row>
    <row r="102">
      <c r="A102" s="75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</row>
    <row r="103">
      <c r="A103" s="102">
        <v>3.2</v>
      </c>
      <c r="B103" s="102">
        <v>0.1273999959230423</v>
      </c>
      <c r="C103" s="102">
        <v>0.13030000030994415</v>
      </c>
      <c r="D103" s="102">
        <v>0.13230000436306</v>
      </c>
      <c r="E103" s="102">
        <v>0.13349999487400055</v>
      </c>
      <c r="F103" s="102">
        <v>0.13510000705718994</v>
      </c>
      <c r="G103" s="102">
        <v>0.13699999451637268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</row>
    <row r="104">
      <c r="A104" s="102">
        <v>1.6</v>
      </c>
      <c r="B104" s="102">
        <v>0.11509999632835388</v>
      </c>
      <c r="C104" s="102">
        <v>0.11749999970197678</v>
      </c>
      <c r="D104" s="102">
        <v>0.11990000307559967</v>
      </c>
      <c r="E104" s="102">
        <v>0.12120000272989273</v>
      </c>
      <c r="F104" s="102">
        <v>0.12319999933242798</v>
      </c>
      <c r="G104" s="102">
        <v>0.12460000067949295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</row>
    <row r="105">
      <c r="A105" s="102">
        <v>0.8</v>
      </c>
      <c r="B105" s="102">
        <v>0.1145000010728836</v>
      </c>
      <c r="C105" s="102">
        <v>0.11720000207424164</v>
      </c>
      <c r="D105" s="102">
        <v>0.1185000017285347</v>
      </c>
      <c r="E105" s="102">
        <v>0.12070000171661377</v>
      </c>
      <c r="F105" s="102">
        <v>0.12210000306367874</v>
      </c>
      <c r="G105" s="102">
        <v>0.12359999865293503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</row>
    <row r="106">
      <c r="A106" s="102">
        <f t="shared" ref="A106:A109" si="36">A105/2</f>
        <v>0.4</v>
      </c>
      <c r="B106" s="102">
        <v>0.10610000044107437</v>
      </c>
      <c r="C106" s="102">
        <v>0.10830000042915344</v>
      </c>
      <c r="D106" s="102">
        <v>0.11010000109672546</v>
      </c>
      <c r="E106" s="102">
        <v>0.11140000075101852</v>
      </c>
      <c r="F106" s="102">
        <v>0.11270000040531158</v>
      </c>
      <c r="G106" s="102">
        <v>0.11379999667406082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</row>
    <row r="107">
      <c r="A107" s="102">
        <f t="shared" si="36"/>
        <v>0.2</v>
      </c>
      <c r="B107" s="102">
        <v>0.11379999667406082</v>
      </c>
      <c r="C107" s="102">
        <v>0.11500000208616257</v>
      </c>
      <c r="D107" s="102">
        <v>0.11580000072717667</v>
      </c>
      <c r="E107" s="102">
        <v>0.11659999936819077</v>
      </c>
      <c r="F107" s="102">
        <v>0.11670000106096268</v>
      </c>
      <c r="G107" s="102">
        <v>0.11729999631643295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</row>
    <row r="108">
      <c r="A108" s="102">
        <f t="shared" si="36"/>
        <v>0.1</v>
      </c>
      <c r="B108" s="102">
        <v>0.10920000076293945</v>
      </c>
      <c r="C108" s="102">
        <v>0.11159999668598175</v>
      </c>
      <c r="D108" s="102">
        <v>0.11299999803304672</v>
      </c>
      <c r="E108" s="102">
        <v>0.11330000311136246</v>
      </c>
      <c r="F108" s="102">
        <v>0.11429999768733978</v>
      </c>
      <c r="G108" s="102">
        <v>0.11509999632835388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</row>
    <row r="109">
      <c r="A109" s="102">
        <f t="shared" si="36"/>
        <v>0.05</v>
      </c>
      <c r="B109" s="102">
        <v>0.11540000140666962</v>
      </c>
      <c r="C109" s="102">
        <v>0.1177000030875206</v>
      </c>
      <c r="D109" s="102">
        <v>0.11890000104904175</v>
      </c>
      <c r="E109" s="102">
        <v>0.11980000138282776</v>
      </c>
      <c r="F109" s="102">
        <v>0.12039999663829803</v>
      </c>
      <c r="G109" s="102">
        <v>0.12189999967813492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</row>
    <row r="110">
      <c r="A110" s="75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</row>
    <row r="11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</row>
    <row r="112">
      <c r="A112" s="75"/>
      <c r="B112" s="111" t="s">
        <v>286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</row>
    <row r="113">
      <c r="A113" s="75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</row>
    <row r="114">
      <c r="A114" s="102">
        <v>3.2</v>
      </c>
      <c r="B114" s="9">
        <f t="shared" ref="B114:G114" si="37">B123+3</f>
        <v>63</v>
      </c>
      <c r="C114" s="9">
        <f t="shared" si="37"/>
        <v>183</v>
      </c>
      <c r="D114" s="9">
        <f t="shared" si="37"/>
        <v>303</v>
      </c>
      <c r="E114" s="9">
        <f t="shared" si="37"/>
        <v>423</v>
      </c>
      <c r="F114" s="9">
        <f t="shared" si="37"/>
        <v>543</v>
      </c>
      <c r="G114" s="9">
        <f t="shared" si="37"/>
        <v>663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</row>
    <row r="115">
      <c r="A115" s="102">
        <v>1.6</v>
      </c>
      <c r="B115" s="9">
        <f t="shared" ref="B115:G115" si="38">B124+3</f>
        <v>54</v>
      </c>
      <c r="C115" s="9">
        <f t="shared" si="38"/>
        <v>174</v>
      </c>
      <c r="D115" s="9">
        <f t="shared" si="38"/>
        <v>294</v>
      </c>
      <c r="E115" s="9">
        <f t="shared" si="38"/>
        <v>414</v>
      </c>
      <c r="F115" s="9">
        <f t="shared" si="38"/>
        <v>534</v>
      </c>
      <c r="G115" s="9">
        <f t="shared" si="38"/>
        <v>654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</row>
    <row r="116">
      <c r="A116" s="102">
        <v>0.8</v>
      </c>
      <c r="B116" s="9">
        <f t="shared" ref="B116:G116" si="39">B125+3</f>
        <v>45</v>
      </c>
      <c r="C116" s="9">
        <f t="shared" si="39"/>
        <v>165</v>
      </c>
      <c r="D116" s="9">
        <f t="shared" si="39"/>
        <v>285</v>
      </c>
      <c r="E116" s="9">
        <f t="shared" si="39"/>
        <v>405</v>
      </c>
      <c r="F116" s="9">
        <f t="shared" si="39"/>
        <v>525</v>
      </c>
      <c r="G116" s="9">
        <f t="shared" si="39"/>
        <v>645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</row>
    <row r="117">
      <c r="A117" s="102">
        <f t="shared" ref="A117:A120" si="41">A116/2</f>
        <v>0.4</v>
      </c>
      <c r="B117" s="9">
        <f t="shared" ref="B117:G117" si="40">B126+3</f>
        <v>36</v>
      </c>
      <c r="C117" s="9">
        <f t="shared" si="40"/>
        <v>156</v>
      </c>
      <c r="D117" s="9">
        <f t="shared" si="40"/>
        <v>276</v>
      </c>
      <c r="E117" s="9">
        <f t="shared" si="40"/>
        <v>396</v>
      </c>
      <c r="F117" s="9">
        <f t="shared" si="40"/>
        <v>516</v>
      </c>
      <c r="G117" s="9">
        <f t="shared" si="40"/>
        <v>636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</row>
    <row r="118">
      <c r="A118" s="102">
        <f t="shared" si="41"/>
        <v>0.2</v>
      </c>
      <c r="B118" s="9">
        <f t="shared" ref="B118:G118" si="42">B127+3</f>
        <v>27</v>
      </c>
      <c r="C118" s="9">
        <f t="shared" si="42"/>
        <v>147</v>
      </c>
      <c r="D118" s="9">
        <f t="shared" si="42"/>
        <v>267</v>
      </c>
      <c r="E118" s="9">
        <f t="shared" si="42"/>
        <v>387</v>
      </c>
      <c r="F118" s="9">
        <f t="shared" si="42"/>
        <v>507</v>
      </c>
      <c r="G118" s="9">
        <f t="shared" si="42"/>
        <v>627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</row>
    <row r="119">
      <c r="A119" s="102">
        <f t="shared" si="41"/>
        <v>0.1</v>
      </c>
      <c r="B119" s="9">
        <f t="shared" ref="B119:G119" si="43">B128+3</f>
        <v>18</v>
      </c>
      <c r="C119" s="9">
        <f t="shared" si="43"/>
        <v>138</v>
      </c>
      <c r="D119" s="9">
        <f t="shared" si="43"/>
        <v>258</v>
      </c>
      <c r="E119" s="9">
        <f t="shared" si="43"/>
        <v>378</v>
      </c>
      <c r="F119" s="9">
        <f t="shared" si="43"/>
        <v>498</v>
      </c>
      <c r="G119" s="9">
        <f t="shared" si="43"/>
        <v>618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</row>
    <row r="120">
      <c r="A120" s="102">
        <f t="shared" si="41"/>
        <v>0.05</v>
      </c>
      <c r="B120" s="9">
        <f t="shared" ref="B120:G120" si="44">B129+3</f>
        <v>9</v>
      </c>
      <c r="C120" s="9">
        <f t="shared" si="44"/>
        <v>129</v>
      </c>
      <c r="D120" s="9">
        <f t="shared" si="44"/>
        <v>249</v>
      </c>
      <c r="E120" s="9">
        <f t="shared" si="44"/>
        <v>369</v>
      </c>
      <c r="F120" s="9">
        <f t="shared" si="44"/>
        <v>489</v>
      </c>
      <c r="G120" s="9">
        <f t="shared" si="44"/>
        <v>609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</row>
    <row r="121">
      <c r="A121" s="75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</row>
    <row r="122">
      <c r="A122" s="75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</row>
    <row r="123">
      <c r="A123" s="102">
        <v>3.2</v>
      </c>
      <c r="B123" s="9">
        <f t="shared" ref="B123:G123" si="45">B132+3</f>
        <v>60</v>
      </c>
      <c r="C123" s="9">
        <f t="shared" si="45"/>
        <v>180</v>
      </c>
      <c r="D123" s="9">
        <f t="shared" si="45"/>
        <v>300</v>
      </c>
      <c r="E123" s="9">
        <f t="shared" si="45"/>
        <v>420</v>
      </c>
      <c r="F123" s="9">
        <f t="shared" si="45"/>
        <v>540</v>
      </c>
      <c r="G123" s="9">
        <f t="shared" si="45"/>
        <v>660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</row>
    <row r="124">
      <c r="A124" s="102">
        <v>1.6</v>
      </c>
      <c r="B124" s="9">
        <f t="shared" ref="B124:G124" si="46">B133+3</f>
        <v>51</v>
      </c>
      <c r="C124" s="9">
        <f t="shared" si="46"/>
        <v>171</v>
      </c>
      <c r="D124" s="9">
        <f t="shared" si="46"/>
        <v>291</v>
      </c>
      <c r="E124" s="9">
        <f t="shared" si="46"/>
        <v>411</v>
      </c>
      <c r="F124" s="9">
        <f t="shared" si="46"/>
        <v>531</v>
      </c>
      <c r="G124" s="9">
        <f t="shared" si="46"/>
        <v>651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</row>
    <row r="125">
      <c r="A125" s="102">
        <v>0.8</v>
      </c>
      <c r="B125" s="9">
        <f t="shared" ref="B125:G125" si="47">B134+3</f>
        <v>42</v>
      </c>
      <c r="C125" s="9">
        <f t="shared" si="47"/>
        <v>162</v>
      </c>
      <c r="D125" s="9">
        <f t="shared" si="47"/>
        <v>282</v>
      </c>
      <c r="E125" s="9">
        <f t="shared" si="47"/>
        <v>402</v>
      </c>
      <c r="F125" s="9">
        <f t="shared" si="47"/>
        <v>522</v>
      </c>
      <c r="G125" s="9">
        <f t="shared" si="47"/>
        <v>642</v>
      </c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</row>
    <row r="126">
      <c r="A126" s="102">
        <f t="shared" ref="A126:A129" si="49">A125/2</f>
        <v>0.4</v>
      </c>
      <c r="B126" s="9">
        <f t="shared" ref="B126:G126" si="48">B135+3</f>
        <v>33</v>
      </c>
      <c r="C126" s="9">
        <f t="shared" si="48"/>
        <v>153</v>
      </c>
      <c r="D126" s="9">
        <f t="shared" si="48"/>
        <v>273</v>
      </c>
      <c r="E126" s="9">
        <f t="shared" si="48"/>
        <v>393</v>
      </c>
      <c r="F126" s="9">
        <f t="shared" si="48"/>
        <v>513</v>
      </c>
      <c r="G126" s="9">
        <f t="shared" si="48"/>
        <v>633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</row>
    <row r="127">
      <c r="A127" s="102">
        <f t="shared" si="49"/>
        <v>0.2</v>
      </c>
      <c r="B127" s="9">
        <f t="shared" ref="B127:G127" si="50">B136+3</f>
        <v>24</v>
      </c>
      <c r="C127" s="9">
        <f t="shared" si="50"/>
        <v>144</v>
      </c>
      <c r="D127" s="9">
        <f t="shared" si="50"/>
        <v>264</v>
      </c>
      <c r="E127" s="9">
        <f t="shared" si="50"/>
        <v>384</v>
      </c>
      <c r="F127" s="9">
        <f t="shared" si="50"/>
        <v>504</v>
      </c>
      <c r="G127" s="9">
        <f t="shared" si="50"/>
        <v>624</v>
      </c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</row>
    <row r="128">
      <c r="A128" s="102">
        <f t="shared" si="49"/>
        <v>0.1</v>
      </c>
      <c r="B128" s="9">
        <f t="shared" ref="B128:G128" si="51">B137+3</f>
        <v>15</v>
      </c>
      <c r="C128" s="9">
        <f t="shared" si="51"/>
        <v>135</v>
      </c>
      <c r="D128" s="9">
        <f t="shared" si="51"/>
        <v>255</v>
      </c>
      <c r="E128" s="9">
        <f t="shared" si="51"/>
        <v>375</v>
      </c>
      <c r="F128" s="9">
        <f t="shared" si="51"/>
        <v>495</v>
      </c>
      <c r="G128" s="9">
        <f t="shared" si="51"/>
        <v>615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</row>
    <row r="129">
      <c r="A129" s="102">
        <f t="shared" si="49"/>
        <v>0.05</v>
      </c>
      <c r="B129" s="9">
        <f t="shared" ref="B129:G129" si="52">B138+3</f>
        <v>6</v>
      </c>
      <c r="C129" s="9">
        <f t="shared" si="52"/>
        <v>126</v>
      </c>
      <c r="D129" s="9">
        <f t="shared" si="52"/>
        <v>246</v>
      </c>
      <c r="E129" s="9">
        <f t="shared" si="52"/>
        <v>366</v>
      </c>
      <c r="F129" s="9">
        <f t="shared" si="52"/>
        <v>486</v>
      </c>
      <c r="G129" s="9">
        <f t="shared" si="52"/>
        <v>606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</row>
    <row r="130">
      <c r="A130" s="75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</row>
    <row r="131">
      <c r="A131" s="75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</row>
    <row r="132">
      <c r="A132" s="102">
        <v>3.2</v>
      </c>
      <c r="B132" s="9">
        <f t="shared" ref="B132:G132" si="53">B115+3</f>
        <v>57</v>
      </c>
      <c r="C132" s="9">
        <f t="shared" si="53"/>
        <v>177</v>
      </c>
      <c r="D132" s="9">
        <f t="shared" si="53"/>
        <v>297</v>
      </c>
      <c r="E132" s="9">
        <f t="shared" si="53"/>
        <v>417</v>
      </c>
      <c r="F132" s="9">
        <f t="shared" si="53"/>
        <v>537</v>
      </c>
      <c r="G132" s="9">
        <f t="shared" si="53"/>
        <v>657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</row>
    <row r="133">
      <c r="A133" s="102">
        <v>1.6</v>
      </c>
      <c r="B133" s="9">
        <f t="shared" ref="B133:G133" si="54">B116+3</f>
        <v>48</v>
      </c>
      <c r="C133" s="9">
        <f t="shared" si="54"/>
        <v>168</v>
      </c>
      <c r="D133" s="9">
        <f t="shared" si="54"/>
        <v>288</v>
      </c>
      <c r="E133" s="9">
        <f t="shared" si="54"/>
        <v>408</v>
      </c>
      <c r="F133" s="9">
        <f t="shared" si="54"/>
        <v>528</v>
      </c>
      <c r="G133" s="9">
        <f t="shared" si="54"/>
        <v>648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</row>
    <row r="134">
      <c r="A134" s="102">
        <v>0.8</v>
      </c>
      <c r="B134" s="9">
        <f t="shared" ref="B134:G134" si="55">B117+3</f>
        <v>39</v>
      </c>
      <c r="C134" s="9">
        <f t="shared" si="55"/>
        <v>159</v>
      </c>
      <c r="D134" s="9">
        <f t="shared" si="55"/>
        <v>279</v>
      </c>
      <c r="E134" s="9">
        <f t="shared" si="55"/>
        <v>399</v>
      </c>
      <c r="F134" s="9">
        <f t="shared" si="55"/>
        <v>519</v>
      </c>
      <c r="G134" s="9">
        <f t="shared" si="55"/>
        <v>639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</row>
    <row r="135">
      <c r="A135" s="102">
        <f t="shared" ref="A135:A138" si="57">A134/2</f>
        <v>0.4</v>
      </c>
      <c r="B135" s="9">
        <f t="shared" ref="B135:G135" si="56">B118+3</f>
        <v>30</v>
      </c>
      <c r="C135" s="9">
        <f t="shared" si="56"/>
        <v>150</v>
      </c>
      <c r="D135" s="9">
        <f t="shared" si="56"/>
        <v>270</v>
      </c>
      <c r="E135" s="9">
        <f t="shared" si="56"/>
        <v>390</v>
      </c>
      <c r="F135" s="9">
        <f t="shared" si="56"/>
        <v>510</v>
      </c>
      <c r="G135" s="9">
        <f t="shared" si="56"/>
        <v>630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</row>
    <row r="136">
      <c r="A136" s="102">
        <f t="shared" si="57"/>
        <v>0.2</v>
      </c>
      <c r="B136" s="9">
        <f t="shared" ref="B136:G136" si="58">B119+3</f>
        <v>21</v>
      </c>
      <c r="C136" s="9">
        <f t="shared" si="58"/>
        <v>141</v>
      </c>
      <c r="D136" s="9">
        <f t="shared" si="58"/>
        <v>261</v>
      </c>
      <c r="E136" s="9">
        <f t="shared" si="58"/>
        <v>381</v>
      </c>
      <c r="F136" s="9">
        <f t="shared" si="58"/>
        <v>501</v>
      </c>
      <c r="G136" s="9">
        <f t="shared" si="58"/>
        <v>621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</row>
    <row r="137">
      <c r="A137" s="102">
        <f t="shared" si="57"/>
        <v>0.1</v>
      </c>
      <c r="B137" s="9">
        <f t="shared" ref="B137:G137" si="59">B120+3</f>
        <v>12</v>
      </c>
      <c r="C137" s="9">
        <f t="shared" si="59"/>
        <v>132</v>
      </c>
      <c r="D137" s="9">
        <f t="shared" si="59"/>
        <v>252</v>
      </c>
      <c r="E137" s="9">
        <f t="shared" si="59"/>
        <v>372</v>
      </c>
      <c r="F137" s="9">
        <f t="shared" si="59"/>
        <v>492</v>
      </c>
      <c r="G137" s="9">
        <f t="shared" si="59"/>
        <v>612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</row>
    <row r="138">
      <c r="A138" s="102">
        <f t="shared" si="57"/>
        <v>0.05</v>
      </c>
      <c r="B138" s="102">
        <v>3.0</v>
      </c>
      <c r="C138" s="102">
        <f t="shared" ref="C138:G138" si="60">120+B138</f>
        <v>123</v>
      </c>
      <c r="D138" s="102">
        <f t="shared" si="60"/>
        <v>243</v>
      </c>
      <c r="E138" s="102">
        <f t="shared" si="60"/>
        <v>363</v>
      </c>
      <c r="F138" s="102">
        <f t="shared" si="60"/>
        <v>483</v>
      </c>
      <c r="G138" s="102">
        <f t="shared" si="60"/>
        <v>603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</row>
    <row r="139">
      <c r="A139" s="75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</row>
    <row r="140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</row>
    <row r="141">
      <c r="A141" s="75"/>
      <c r="B141" s="8" t="s">
        <v>88</v>
      </c>
      <c r="C141" s="8" t="s">
        <v>287</v>
      </c>
      <c r="D141" s="8" t="s">
        <v>278</v>
      </c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>
      <c r="A142" s="67" t="s">
        <v>280</v>
      </c>
      <c r="B142" s="9">
        <v>5.0</v>
      </c>
      <c r="C142" s="9">
        <f t="shared" ref="C142:C149" si="61">AVERAGE((B15/5),(B24/5),(B33/5))</f>
        <v>0.0158</v>
      </c>
      <c r="D142" s="9">
        <f t="shared" ref="D142:D156" si="62">3.839*C142</f>
        <v>0.0606562</v>
      </c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>
      <c r="A143" s="75"/>
      <c r="B143" s="9">
        <v>2.5</v>
      </c>
      <c r="C143" s="9">
        <f t="shared" si="61"/>
        <v>0.0138</v>
      </c>
      <c r="D143" s="9">
        <f t="shared" si="62"/>
        <v>0.0529782</v>
      </c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>
      <c r="A144" s="75"/>
      <c r="B144" s="9">
        <v>1.25</v>
      </c>
      <c r="C144" s="9">
        <f t="shared" si="61"/>
        <v>0.013</v>
      </c>
      <c r="D144" s="9">
        <f t="shared" si="62"/>
        <v>0.049907</v>
      </c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>
      <c r="A145" s="75"/>
      <c r="B145" s="9">
        <v>0.625</v>
      </c>
      <c r="C145" s="9">
        <f t="shared" si="61"/>
        <v>0.01254666667</v>
      </c>
      <c r="D145" s="9">
        <f t="shared" si="62"/>
        <v>0.04816665333</v>
      </c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>
      <c r="A146" s="75"/>
      <c r="B146" s="9">
        <v>0.3125</v>
      </c>
      <c r="C146" s="9">
        <f t="shared" si="61"/>
        <v>0.0121</v>
      </c>
      <c r="D146" s="9">
        <f t="shared" si="62"/>
        <v>0.0464519</v>
      </c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>
      <c r="A147" s="75"/>
      <c r="B147" s="107">
        <v>0.15625</v>
      </c>
      <c r="C147" s="107">
        <f t="shared" si="61"/>
        <v>0.01094</v>
      </c>
      <c r="D147" s="107">
        <f t="shared" si="62"/>
        <v>0.04199866</v>
      </c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>
      <c r="A148" s="75"/>
      <c r="B148" s="9">
        <v>0.078125</v>
      </c>
      <c r="C148" s="9">
        <f t="shared" si="61"/>
        <v>0.01128666667</v>
      </c>
      <c r="D148" s="9">
        <f t="shared" si="62"/>
        <v>0.04332951333</v>
      </c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>
      <c r="A149" s="75"/>
      <c r="B149" s="112">
        <v>0.0390625</v>
      </c>
      <c r="C149" s="112">
        <f t="shared" si="61"/>
        <v>0.01116</v>
      </c>
      <c r="D149" s="112">
        <f t="shared" si="62"/>
        <v>0.04284324</v>
      </c>
      <c r="E149" s="112">
        <f>3.839*(STDEVP(B22,B31,B40)/sqrt(3))/5</f>
        <v>0.0008181864841</v>
      </c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</row>
    <row r="150">
      <c r="A150" s="75"/>
      <c r="B150" s="112">
        <v>3.2</v>
      </c>
      <c r="C150" s="112">
        <f t="shared" ref="C150:C156" si="63">AVERAGE((C85/2),(C94/2),(C103/2))</f>
        <v>0.06181666628</v>
      </c>
      <c r="D150" s="112">
        <f t="shared" si="62"/>
        <v>0.2373141818</v>
      </c>
      <c r="E150" s="112">
        <f>3.839*(STDEVP(C85,C94,C103)/SQRT(3))/5</f>
        <v>0.002199935378</v>
      </c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</row>
    <row r="151">
      <c r="A151" s="75"/>
      <c r="B151" s="9">
        <v>1.6</v>
      </c>
      <c r="C151" s="9">
        <f t="shared" si="63"/>
        <v>0.05874999985</v>
      </c>
      <c r="D151" s="9">
        <f t="shared" si="62"/>
        <v>0.2255412494</v>
      </c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</row>
    <row r="152">
      <c r="A152" s="75"/>
      <c r="B152" s="112">
        <v>0.8</v>
      </c>
      <c r="C152" s="112">
        <f t="shared" si="63"/>
        <v>0.05805000042</v>
      </c>
      <c r="D152" s="112">
        <f t="shared" si="62"/>
        <v>0.2228539516</v>
      </c>
      <c r="E152" s="112">
        <f t="shared" ref="E152:E153" si="64">3.839*(STDEVP(C87,C96,C105)/SQRT(3))/5</f>
        <v>0.001824500728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</row>
    <row r="153">
      <c r="A153" s="75"/>
      <c r="B153" s="112">
        <v>0.4</v>
      </c>
      <c r="C153" s="112">
        <f t="shared" si="63"/>
        <v>0.0548666666</v>
      </c>
      <c r="D153" s="112">
        <f t="shared" si="62"/>
        <v>0.2106331331</v>
      </c>
      <c r="E153" s="112">
        <f t="shared" si="64"/>
        <v>0.001259199839</v>
      </c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</row>
    <row r="154">
      <c r="A154" s="75"/>
      <c r="B154" s="113">
        <v>0.2</v>
      </c>
      <c r="C154" s="113">
        <f t="shared" si="63"/>
        <v>0.06091666718</v>
      </c>
      <c r="D154" s="113">
        <f t="shared" si="62"/>
        <v>0.2338590853</v>
      </c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</row>
    <row r="155">
      <c r="A155" s="75"/>
      <c r="B155" s="113">
        <v>0.1</v>
      </c>
      <c r="C155" s="113">
        <f t="shared" si="63"/>
        <v>0.05696666613</v>
      </c>
      <c r="D155" s="113">
        <f t="shared" si="62"/>
        <v>0.2186950313</v>
      </c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</row>
    <row r="156">
      <c r="A156" s="75"/>
      <c r="B156" s="113">
        <v>0.05</v>
      </c>
      <c r="C156" s="113">
        <f t="shared" si="63"/>
        <v>0.05758333455</v>
      </c>
      <c r="D156" s="113">
        <f t="shared" si="62"/>
        <v>0.2210624213</v>
      </c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r="157">
      <c r="A157" s="75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</row>
    <row r="158">
      <c r="A158" s="75"/>
      <c r="B158" s="8"/>
      <c r="C158" s="105" t="s">
        <v>272</v>
      </c>
      <c r="D158" s="106">
        <v>0.240668095</v>
      </c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</row>
    <row r="159">
      <c r="A159" s="75"/>
      <c r="B159" s="8"/>
      <c r="C159" s="105" t="s">
        <v>271</v>
      </c>
      <c r="D159" s="106">
        <v>0.058265746</v>
      </c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</row>
    <row r="160">
      <c r="A160" s="75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</row>
    <row r="161">
      <c r="A161" s="75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</row>
    <row r="162">
      <c r="A162" s="8"/>
      <c r="B162" s="8" t="s">
        <v>88</v>
      </c>
      <c r="C162" s="8" t="s">
        <v>140</v>
      </c>
      <c r="D162" s="8" t="s">
        <v>288</v>
      </c>
      <c r="E162" s="8" t="s">
        <v>278</v>
      </c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</row>
    <row r="163">
      <c r="A163" s="67" t="s">
        <v>289</v>
      </c>
      <c r="B163" s="75">
        <v>5.0</v>
      </c>
      <c r="C163" s="68">
        <f t="shared" ref="C163:C164" si="65">AVERAGE((C15/C54),(C24/C63),(C33/C72))</f>
        <v>0.0001402485744</v>
      </c>
      <c r="D163" s="9">
        <f t="shared" ref="D163:D170" si="66">(3.839*C163)</f>
        <v>0.0005384142772</v>
      </c>
      <c r="E163" s="9">
        <f t="shared" ref="E163:E170" si="67">D163*60</f>
        <v>0.03230485663</v>
      </c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</row>
    <row r="164">
      <c r="A164" s="8"/>
      <c r="B164" s="75">
        <v>2.5</v>
      </c>
      <c r="C164" s="68">
        <f t="shared" si="65"/>
        <v>0.000131541938</v>
      </c>
      <c r="D164" s="9">
        <f t="shared" si="66"/>
        <v>0.0005049894999</v>
      </c>
      <c r="E164" s="9">
        <f t="shared" si="67"/>
        <v>0.03029937</v>
      </c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</row>
    <row r="165">
      <c r="A165" s="8"/>
      <c r="B165" s="75">
        <v>1.25</v>
      </c>
      <c r="C165" s="9">
        <f t="shared" ref="C165:C170" si="68">AVERAGE((D5/C45),(C17/C56),(C26/C65),(C35/C74))</f>
        <v>0.0001168058359</v>
      </c>
      <c r="D165" s="9">
        <f t="shared" si="66"/>
        <v>0.0004484176038</v>
      </c>
      <c r="E165" s="9">
        <f t="shared" si="67"/>
        <v>0.02690505623</v>
      </c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</row>
    <row r="166">
      <c r="A166" s="8"/>
      <c r="B166" s="75">
        <v>0.625</v>
      </c>
      <c r="C166" s="9">
        <f t="shared" si="68"/>
        <v>0.0001203529858</v>
      </c>
      <c r="D166" s="9">
        <f t="shared" si="66"/>
        <v>0.0004620351126</v>
      </c>
      <c r="E166" s="9">
        <f t="shared" si="67"/>
        <v>0.02772210676</v>
      </c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</row>
    <row r="167">
      <c r="A167" s="8"/>
      <c r="B167" s="75">
        <v>0.3125</v>
      </c>
      <c r="C167" s="9">
        <f t="shared" si="68"/>
        <v>0.0001154494128</v>
      </c>
      <c r="D167" s="9">
        <f t="shared" si="66"/>
        <v>0.0004432102956</v>
      </c>
      <c r="E167" s="9">
        <f t="shared" si="67"/>
        <v>0.02659261774</v>
      </c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</row>
    <row r="168">
      <c r="A168" s="8"/>
      <c r="B168" s="75">
        <v>0.15625</v>
      </c>
      <c r="C168" s="9">
        <f t="shared" si="68"/>
        <v>0.0001002990965</v>
      </c>
      <c r="D168" s="9">
        <f t="shared" si="66"/>
        <v>0.0003850482315</v>
      </c>
      <c r="E168" s="9">
        <f t="shared" si="67"/>
        <v>0.02310289389</v>
      </c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</row>
    <row r="169">
      <c r="A169" s="8"/>
      <c r="B169" s="75">
        <v>0.078125</v>
      </c>
      <c r="C169" s="9">
        <f t="shared" si="68"/>
        <v>0.0001004700196</v>
      </c>
      <c r="D169" s="9">
        <f t="shared" si="66"/>
        <v>0.0003857044051</v>
      </c>
      <c r="E169" s="9">
        <f t="shared" si="67"/>
        <v>0.0231422643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</row>
    <row r="170">
      <c r="A170" s="8"/>
      <c r="B170" s="75">
        <v>0.0390625</v>
      </c>
      <c r="C170" s="9">
        <f t="shared" si="68"/>
        <v>0.00009660489616</v>
      </c>
      <c r="D170" s="9">
        <f t="shared" si="66"/>
        <v>0.0003708661964</v>
      </c>
      <c r="E170" s="9">
        <f t="shared" si="67"/>
        <v>0.02225197178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</row>
    <row r="172">
      <c r="A172" s="8"/>
      <c r="B172" s="9">
        <v>3.2</v>
      </c>
      <c r="C172" s="9">
        <f t="shared" ref="C172:C178" si="69">AVERAGE((B85/B114),(B94/B123),(B103/B132))</f>
        <v>0.002020584777</v>
      </c>
      <c r="D172" s="9">
        <f t="shared" ref="D172:D178" si="70">3.839*C172</f>
        <v>0.007757024958</v>
      </c>
      <c r="E172" s="9">
        <f t="shared" ref="E172:E178" si="71">D172*60</f>
        <v>0.4654214975</v>
      </c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</row>
    <row r="173">
      <c r="A173" s="8"/>
      <c r="B173" s="9">
        <v>1.6</v>
      </c>
      <c r="C173" s="9">
        <f t="shared" si="69"/>
        <v>0.002257148656</v>
      </c>
      <c r="D173" s="9">
        <f t="shared" si="70"/>
        <v>0.008665193691</v>
      </c>
      <c r="E173" s="9">
        <f t="shared" si="71"/>
        <v>0.5199116214</v>
      </c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</row>
    <row r="174">
      <c r="A174" s="8"/>
      <c r="B174" s="9">
        <v>0.8</v>
      </c>
      <c r="C174" s="9">
        <f t="shared" si="69"/>
        <v>0.00272159548</v>
      </c>
      <c r="D174" s="9">
        <f t="shared" si="70"/>
        <v>0.01044820505</v>
      </c>
      <c r="E174" s="9">
        <f t="shared" si="71"/>
        <v>0.6268923029</v>
      </c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</row>
    <row r="175">
      <c r="A175" s="8"/>
      <c r="B175" s="9">
        <v>0.4</v>
      </c>
      <c r="C175" s="9">
        <f t="shared" si="69"/>
        <v>0.003257760974</v>
      </c>
      <c r="D175" s="9">
        <f t="shared" si="70"/>
        <v>0.01250654438</v>
      </c>
      <c r="E175" s="9">
        <f t="shared" si="71"/>
        <v>0.7503926627</v>
      </c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</row>
    <row r="176">
      <c r="A176" s="8"/>
      <c r="B176" s="9">
        <v>0.2</v>
      </c>
      <c r="C176" s="9">
        <f t="shared" si="69"/>
        <v>0.004976102294</v>
      </c>
      <c r="D176" s="9">
        <f t="shared" si="70"/>
        <v>0.01910325671</v>
      </c>
      <c r="E176" s="9">
        <f t="shared" si="71"/>
        <v>1.146195402</v>
      </c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</row>
    <row r="177">
      <c r="A177" s="8"/>
      <c r="B177" s="9">
        <v>0.1</v>
      </c>
      <c r="C177" s="9">
        <f t="shared" si="69"/>
        <v>0.007600370381</v>
      </c>
      <c r="D177" s="9">
        <f t="shared" si="70"/>
        <v>0.02917782189</v>
      </c>
      <c r="E177" s="9">
        <f t="shared" si="71"/>
        <v>1.750669313</v>
      </c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</row>
    <row r="178">
      <c r="A178" s="8"/>
      <c r="B178" s="9">
        <v>0.05</v>
      </c>
      <c r="C178" s="9">
        <f t="shared" si="69"/>
        <v>0.02327962965</v>
      </c>
      <c r="D178" s="9">
        <f t="shared" si="70"/>
        <v>0.08937049822</v>
      </c>
      <c r="E178" s="9">
        <f t="shared" si="71"/>
        <v>5.362229893</v>
      </c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</row>
    <row r="100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8"/>
    </row>
    <row r="100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8"/>
    </row>
    <row r="1003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8"/>
    </row>
    <row r="1004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8"/>
    </row>
    <row r="100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8"/>
    </row>
    <row r="1006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8"/>
    </row>
    <row r="1007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8"/>
    </row>
    <row r="1008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8"/>
    </row>
    <row r="1009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8"/>
    </row>
    <row r="1010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8"/>
    </row>
    <row r="1011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8"/>
    </row>
    <row r="101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8"/>
    </row>
    <row r="1013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8"/>
    </row>
    <row r="1014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</row>
    <row r="101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</row>
    <row r="1016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</row>
    <row r="1017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</row>
    <row r="1018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</row>
    <row r="1019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</row>
    <row r="1020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</row>
    <row r="1021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</row>
    <row r="102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</row>
    <row r="1023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</row>
    <row r="1024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</row>
    <row r="102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</row>
    <row r="1026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</row>
    <row r="1027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</row>
    <row r="1028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</row>
    <row r="1029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</row>
    <row r="1030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</row>
    <row r="1031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</row>
    <row r="103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</row>
    <row r="1033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</row>
    <row r="1034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</row>
    <row r="103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</row>
    <row r="1036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8"/>
    </row>
    <row r="1037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8"/>
    </row>
    <row r="1038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8"/>
    </row>
    <row r="1039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8"/>
    </row>
    <row r="1040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8"/>
    </row>
    <row r="1041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  <c r="AK1041" s="8"/>
      <c r="AL1041" s="8"/>
    </row>
    <row r="104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  <c r="AK1042" s="8"/>
      <c r="AL1042" s="8"/>
    </row>
    <row r="1043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8"/>
    </row>
    <row r="1044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8"/>
    </row>
    <row r="104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8"/>
    </row>
    <row r="1046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8"/>
    </row>
    <row r="1047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8"/>
    </row>
    <row r="1048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8"/>
    </row>
    <row r="1049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  <c r="AK1049" s="8"/>
      <c r="AL1049" s="8"/>
    </row>
    <row r="1050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8"/>
    </row>
    <row r="1051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8"/>
    </row>
    <row r="105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8"/>
    </row>
    <row r="1053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8"/>
    </row>
    <row r="1054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8"/>
    </row>
    <row r="105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8"/>
    </row>
    <row r="1056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8"/>
    </row>
    <row r="1057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8"/>
    </row>
    <row r="1058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8"/>
    </row>
    <row r="1059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8"/>
    </row>
    <row r="1060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  <c r="AK1060" s="8"/>
      <c r="AL1060" s="8"/>
    </row>
    <row r="1061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8"/>
    </row>
    <row r="106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8"/>
    </row>
    <row r="1063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8"/>
    </row>
    <row r="1064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8"/>
    </row>
    <row r="106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8"/>
    </row>
    <row r="1066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8"/>
    </row>
    <row r="1067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  <c r="AK1067" s="8"/>
      <c r="AL1067" s="8"/>
    </row>
    <row r="1068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8"/>
    </row>
    <row r="1069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8"/>
    </row>
    <row r="1070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8"/>
    </row>
    <row r="1071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8"/>
    </row>
    <row r="1072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  <c r="AK1072" s="8"/>
      <c r="AL1072" s="8"/>
    </row>
    <row r="1073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8"/>
    </row>
    <row r="1074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8"/>
      <c r="AL1074" s="8"/>
    </row>
    <row r="107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8"/>
      <c r="AL1075" s="8"/>
    </row>
    <row r="1076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8"/>
    </row>
    <row r="1077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8"/>
    </row>
    <row r="1078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  <c r="AK1078" s="8"/>
      <c r="AL1078" s="8"/>
    </row>
    <row r="1079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  <c r="AK1079" s="8"/>
      <c r="AL1079" s="8"/>
    </row>
    <row r="1080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8"/>
      <c r="AL1080" s="8"/>
    </row>
    <row r="1081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  <c r="AK1081" s="8"/>
      <c r="AL1081" s="8"/>
    </row>
    <row r="1082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8"/>
    </row>
    <row r="1083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8"/>
    </row>
    <row r="1084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8"/>
    </row>
    <row r="108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  <c r="AK1085" s="8"/>
      <c r="AL1085" s="8"/>
    </row>
    <row r="1086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8"/>
    </row>
    <row r="1087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8"/>
    </row>
    <row r="1088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8"/>
    </row>
    <row r="1089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8"/>
    </row>
    <row r="1090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8"/>
    </row>
    <row r="1091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  <c r="AK1091" s="8"/>
      <c r="AL1091" s="8"/>
    </row>
    <row r="109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8"/>
      <c r="AL1092" s="8"/>
    </row>
    <row r="1093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8"/>
    </row>
    <row r="1094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8"/>
      <c r="AL1094" s="8"/>
    </row>
    <row r="109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8"/>
      <c r="AL1095" s="8"/>
    </row>
    <row r="1096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8"/>
    </row>
    <row r="1097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8"/>
    </row>
    <row r="1098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8"/>
    </row>
    <row r="1099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8"/>
      <c r="AL1099" s="8"/>
    </row>
    <row r="1100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8"/>
      <c r="AG1100" s="8"/>
      <c r="AH1100" s="8"/>
      <c r="AI1100" s="8"/>
      <c r="AJ1100" s="8"/>
      <c r="AK1100" s="8"/>
      <c r="AL1100" s="8"/>
    </row>
    <row r="1101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8"/>
      <c r="AI1101" s="8"/>
      <c r="AJ1101" s="8"/>
      <c r="AK1101" s="8"/>
      <c r="AL1101" s="8"/>
    </row>
    <row r="1102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8"/>
      <c r="AL1102" s="8"/>
    </row>
    <row r="1103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8"/>
    </row>
    <row r="1104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8"/>
      <c r="AD1104" s="8"/>
      <c r="AE1104" s="8"/>
      <c r="AF1104" s="8"/>
      <c r="AG1104" s="8"/>
      <c r="AH1104" s="8"/>
      <c r="AI1104" s="8"/>
      <c r="AJ1104" s="8"/>
      <c r="AK1104" s="8"/>
      <c r="AL1104" s="8"/>
    </row>
    <row r="110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/>
      <c r="AI1105" s="8"/>
      <c r="AJ1105" s="8"/>
      <c r="AK1105" s="8"/>
      <c r="AL1105" s="8"/>
    </row>
    <row r="1106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8"/>
    </row>
    <row r="1107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8"/>
    </row>
    <row r="1108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8"/>
      <c r="AG1108" s="8"/>
      <c r="AH1108" s="8"/>
      <c r="AI1108" s="8"/>
      <c r="AJ1108" s="8"/>
      <c r="AK1108" s="8"/>
      <c r="AL1108" s="8"/>
    </row>
    <row r="1109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8"/>
    </row>
    <row r="1110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  <c r="AJ1110" s="8"/>
      <c r="AK1110" s="8"/>
      <c r="AL1110" s="8"/>
    </row>
    <row r="1111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8"/>
      <c r="AI1111" s="8"/>
      <c r="AJ1111" s="8"/>
      <c r="AK1111" s="8"/>
      <c r="AL1111" s="8"/>
    </row>
    <row r="1112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  <c r="AE1112" s="8"/>
      <c r="AF1112" s="8"/>
      <c r="AG1112" s="8"/>
      <c r="AH1112" s="8"/>
      <c r="AI1112" s="8"/>
      <c r="AJ1112" s="8"/>
      <c r="AK1112" s="8"/>
      <c r="AL1112" s="8"/>
    </row>
    <row r="1113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  <c r="AI1113" s="8"/>
      <c r="AJ1113" s="8"/>
      <c r="AK1113" s="8"/>
      <c r="AL1113" s="8"/>
    </row>
    <row r="1114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8"/>
      <c r="AD1114" s="8"/>
      <c r="AE1114" s="8"/>
      <c r="AF1114" s="8"/>
      <c r="AG1114" s="8"/>
      <c r="AH1114" s="8"/>
      <c r="AI1114" s="8"/>
      <c r="AJ1114" s="8"/>
      <c r="AK1114" s="8"/>
      <c r="AL1114" s="8"/>
    </row>
    <row r="111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  <c r="AE1115" s="8"/>
      <c r="AF1115" s="8"/>
      <c r="AG1115" s="8"/>
      <c r="AH1115" s="8"/>
      <c r="AI1115" s="8"/>
      <c r="AJ1115" s="8"/>
      <c r="AK1115" s="8"/>
      <c r="AL1115" s="8"/>
    </row>
    <row r="1116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/>
      <c r="AC1116" s="8"/>
      <c r="AD1116" s="8"/>
      <c r="AE1116" s="8"/>
      <c r="AF1116" s="8"/>
      <c r="AG1116" s="8"/>
      <c r="AH1116" s="8"/>
      <c r="AI1116" s="8"/>
      <c r="AJ1116" s="8"/>
      <c r="AK1116" s="8"/>
      <c r="AL1116" s="8"/>
    </row>
    <row r="1117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  <c r="AG1117" s="8"/>
      <c r="AH1117" s="8"/>
      <c r="AI1117" s="8"/>
      <c r="AJ1117" s="8"/>
      <c r="AK1117" s="8"/>
      <c r="AL1117" s="8"/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68.43"/>
    <col customWidth="1" min="3" max="3" width="25.43"/>
    <col customWidth="1" min="5" max="5" width="5.43"/>
    <col customWidth="1" min="6" max="6" width="6.57"/>
  </cols>
  <sheetData>
    <row r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8"/>
      <c r="B2" s="114" t="s">
        <v>290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8"/>
      <c r="B4" s="109" t="s">
        <v>291</v>
      </c>
      <c r="C4" s="12"/>
      <c r="D4" s="12"/>
      <c r="E4" s="12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8"/>
      <c r="B5" s="109" t="s">
        <v>292</v>
      </c>
      <c r="C5" s="12"/>
      <c r="D5" s="12"/>
      <c r="E5" s="12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8"/>
      <c r="B8" s="8"/>
      <c r="C8" s="109" t="s">
        <v>293</v>
      </c>
      <c r="D8" s="8"/>
      <c r="E8" s="9">
        <v>5.1</v>
      </c>
      <c r="F8" s="8" t="s">
        <v>294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8"/>
      <c r="B10" s="8"/>
      <c r="C10" s="109" t="s">
        <v>295</v>
      </c>
      <c r="D10" s="8"/>
      <c r="E10" s="9">
        <v>1.0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8"/>
      <c r="B11" s="8"/>
      <c r="C11" s="8" t="s">
        <v>296</v>
      </c>
      <c r="D11" s="8"/>
      <c r="E11" s="9">
        <f>(1000*E10)*E8</f>
        <v>5100</v>
      </c>
      <c r="F11" s="8" t="s">
        <v>294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8"/>
      <c r="B12" s="8"/>
      <c r="C12" s="109" t="s">
        <v>297</v>
      </c>
      <c r="D12" s="8"/>
      <c r="E12" s="9">
        <v>0.9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8"/>
      <c r="B13" s="8"/>
      <c r="C13" s="109" t="s">
        <v>298</v>
      </c>
      <c r="D13" s="8"/>
      <c r="E13" s="9">
        <f>(E12*E11)</f>
        <v>4590</v>
      </c>
      <c r="F13" s="8" t="s">
        <v>294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8"/>
      <c r="B14" s="8"/>
      <c r="C14" s="8" t="s">
        <v>299</v>
      </c>
      <c r="D14" s="8"/>
      <c r="E14" s="9">
        <f>(1-E12)*E11</f>
        <v>510</v>
      </c>
      <c r="F14" s="8" t="s">
        <v>294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43"/>
    <col customWidth="1" min="2" max="2" width="59.57"/>
    <col customWidth="1" min="3" max="3" width="12.57"/>
    <col customWidth="1" min="4" max="4" width="10.0"/>
    <col customWidth="1" min="5" max="5" width="12.57"/>
    <col customWidth="1" min="6" max="6" width="10.0"/>
    <col customWidth="1" min="7" max="7" width="36.43"/>
    <col customWidth="1" min="8" max="8" width="30.43"/>
    <col customWidth="1" min="9" max="9" width="11.43"/>
    <col customWidth="1" min="10" max="10" width="10.0"/>
    <col customWidth="1" min="11" max="11" width="11.43"/>
    <col customWidth="1" min="12" max="12" width="10.0"/>
  </cols>
  <sheetData>
    <row r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64" t="s">
        <v>300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8"/>
      <c r="B3" s="109" t="s">
        <v>301</v>
      </c>
      <c r="C3" s="1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8"/>
      <c r="B4" s="109" t="s">
        <v>302</v>
      </c>
      <c r="C4" s="12"/>
      <c r="D4" s="12"/>
      <c r="E4" s="12"/>
      <c r="F4" s="8"/>
      <c r="G4" s="109" t="s">
        <v>303</v>
      </c>
      <c r="H4" s="12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8"/>
      <c r="B6" s="109" t="s">
        <v>304</v>
      </c>
      <c r="C6" s="12"/>
      <c r="D6" s="8"/>
      <c r="E6" s="115">
        <v>18300.0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8"/>
      <c r="B7" s="109" t="s">
        <v>305</v>
      </c>
      <c r="C7" s="12"/>
      <c r="D7" s="8"/>
      <c r="E7" s="115">
        <f>E6</f>
        <v>18300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116" t="s">
        <v>306</v>
      </c>
      <c r="B10" s="109" t="s">
        <v>307</v>
      </c>
      <c r="C10" s="8"/>
      <c r="D10" s="8"/>
      <c r="E10" s="117">
        <f>(E7*Step1!E14)*(1*10^6)</f>
        <v>9333000000000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8"/>
      <c r="B11" s="109" t="s">
        <v>308</v>
      </c>
      <c r="C11" s="8"/>
      <c r="D11" s="8"/>
      <c r="E11" s="117">
        <f>E10/(Step1!E10*1000)</f>
        <v>9333000000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8"/>
      <c r="B12" s="8"/>
      <c r="C12" s="8"/>
      <c r="D12" s="8"/>
      <c r="E12" s="67" t="s">
        <v>309</v>
      </c>
      <c r="F12" s="118">
        <v>2.0E7</v>
      </c>
      <c r="G12" s="119" t="s">
        <v>310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8"/>
      <c r="B13" s="8"/>
      <c r="C13" s="8"/>
      <c r="D13" s="8"/>
      <c r="E13" s="67" t="s">
        <v>311</v>
      </c>
      <c r="F13" s="118">
        <v>4.5E10</v>
      </c>
      <c r="G13" s="119" t="s">
        <v>310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120" t="s">
        <v>312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8"/>
      <c r="B16" s="109" t="s">
        <v>313</v>
      </c>
      <c r="C16" s="12"/>
      <c r="D16" s="8"/>
      <c r="E16" s="8"/>
      <c r="F16" s="8"/>
      <c r="G16" s="122"/>
      <c r="H16" s="109" t="s">
        <v>314</v>
      </c>
      <c r="I16" s="12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8"/>
      <c r="B17" s="8"/>
      <c r="C17" s="8" t="s">
        <v>315</v>
      </c>
      <c r="D17" s="8" t="s">
        <v>316</v>
      </c>
      <c r="E17" s="8" t="s">
        <v>317</v>
      </c>
      <c r="F17" s="8" t="s">
        <v>318</v>
      </c>
      <c r="G17" s="122"/>
      <c r="H17" s="8"/>
      <c r="I17" s="8" t="s">
        <v>315</v>
      </c>
      <c r="J17" s="8" t="s">
        <v>316</v>
      </c>
      <c r="K17" s="8" t="s">
        <v>317</v>
      </c>
      <c r="L17" s="8" t="s">
        <v>318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8"/>
      <c r="B18" s="8" t="s">
        <v>319</v>
      </c>
      <c r="C18" s="8" t="s">
        <v>320</v>
      </c>
      <c r="D18" s="117">
        <f>AntigenStartingConcentration!D32</f>
        <v>670207391426</v>
      </c>
      <c r="E18" s="8"/>
      <c r="F18" s="9">
        <v>0.0</v>
      </c>
      <c r="G18" s="122"/>
      <c r="H18" s="8" t="s">
        <v>319</v>
      </c>
      <c r="I18" s="8" t="s">
        <v>320</v>
      </c>
      <c r="J18" s="117">
        <f>AntigenStartingConcentration!D33</f>
        <v>205566937574</v>
      </c>
      <c r="K18" s="8"/>
      <c r="L18" s="9">
        <v>0.0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8"/>
      <c r="B19" s="8"/>
      <c r="C19" s="8"/>
      <c r="D19" s="8"/>
      <c r="E19" s="8"/>
      <c r="F19" s="8"/>
      <c r="G19" s="122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8"/>
      <c r="B20" s="8" t="s">
        <v>321</v>
      </c>
      <c r="C20" s="8" t="s">
        <v>322</v>
      </c>
      <c r="D20" s="8" t="s">
        <v>323</v>
      </c>
      <c r="E20" s="8"/>
      <c r="F20" s="8" t="s">
        <v>324</v>
      </c>
      <c r="G20" s="122"/>
      <c r="H20" s="8" t="s">
        <v>321</v>
      </c>
      <c r="I20" s="8" t="s">
        <v>322</v>
      </c>
      <c r="J20" s="8" t="s">
        <v>323</v>
      </c>
      <c r="K20" s="8"/>
      <c r="L20" s="8" t="s">
        <v>324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>
      <c r="A21" s="8"/>
      <c r="B21" s="12" t="s">
        <v>325</v>
      </c>
      <c r="C21" s="123">
        <f>-F21</f>
        <v>-9333000000</v>
      </c>
      <c r="D21" s="123">
        <f>-(2*F21)</f>
        <v>-18666000000</v>
      </c>
      <c r="E21" s="12"/>
      <c r="F21" s="123">
        <f>E11</f>
        <v>9333000000</v>
      </c>
      <c r="G21" s="122"/>
      <c r="H21" s="12" t="s">
        <v>325</v>
      </c>
      <c r="I21" s="123">
        <f>-L21</f>
        <v>-9333000000</v>
      </c>
      <c r="J21" s="123">
        <f>-(2*L21)</f>
        <v>-18666000000</v>
      </c>
      <c r="K21" s="12"/>
      <c r="L21" s="123">
        <f>E11</f>
        <v>9333000000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12"/>
      <c r="B22" s="8" t="s">
        <v>326</v>
      </c>
      <c r="C22" s="8" t="s">
        <v>320</v>
      </c>
      <c r="D22" s="117">
        <f>D18+D21</f>
        <v>651541391426</v>
      </c>
      <c r="E22" s="8"/>
      <c r="F22" s="123">
        <f>F18+F21</f>
        <v>9333000000</v>
      </c>
      <c r="G22" s="124"/>
      <c r="H22" s="8" t="s">
        <v>326</v>
      </c>
      <c r="I22" s="8" t="s">
        <v>320</v>
      </c>
      <c r="J22" s="117">
        <f>J18+J21</f>
        <v>186900937574</v>
      </c>
      <c r="K22" s="8"/>
      <c r="L22" s="123">
        <f>L18+L21</f>
        <v>9333000000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12"/>
      <c r="B23" s="12"/>
      <c r="C23" s="123">
        <f>(C21)</f>
        <v>-9333000000</v>
      </c>
      <c r="D23" s="12"/>
      <c r="E23" s="12"/>
      <c r="F23" s="12"/>
      <c r="G23" s="124"/>
      <c r="H23" s="12"/>
      <c r="I23" s="123">
        <f>(I21)</f>
        <v>-9333000000</v>
      </c>
      <c r="J23" s="12"/>
      <c r="K23" s="12"/>
      <c r="L23" s="12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8"/>
      <c r="B24" s="8"/>
      <c r="C24" s="8"/>
      <c r="D24" s="8"/>
      <c r="E24" s="8"/>
      <c r="F24" s="8"/>
      <c r="G24" s="122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8"/>
      <c r="B25" s="125" t="str">
        <f>G22</f>
        <v/>
      </c>
      <c r="C25" s="126"/>
      <c r="D25" s="58" t="s">
        <v>327</v>
      </c>
      <c r="E25" s="8"/>
      <c r="F25" s="8"/>
      <c r="G25" s="122"/>
      <c r="H25" s="125" t="str">
        <f>M22</f>
        <v/>
      </c>
      <c r="I25" s="126"/>
      <c r="J25" s="58" t="s">
        <v>327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9" t="s">
        <v>328</v>
      </c>
      <c r="B26" s="8" t="s">
        <v>320</v>
      </c>
      <c r="C26" s="9">
        <f>(D22)^2</f>
        <v>4.24506E+23</v>
      </c>
      <c r="E26" s="117">
        <f>F12</f>
        <v>20000000</v>
      </c>
      <c r="F26" s="8"/>
      <c r="G26" s="122"/>
      <c r="H26" s="8" t="s">
        <v>320</v>
      </c>
      <c r="I26" s="9">
        <f>(J22)^2</f>
        <v>3.4932E+22</v>
      </c>
      <c r="K26" s="117">
        <f>F12</f>
        <v>20000000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8"/>
      <c r="B27" s="117">
        <f>C23</f>
        <v>-9333000000</v>
      </c>
      <c r="C27" s="8"/>
      <c r="D27" s="8"/>
      <c r="E27" s="8"/>
      <c r="F27" s="8"/>
      <c r="G27" s="122"/>
      <c r="H27" s="117">
        <f>I23</f>
        <v>-9333000000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8"/>
      <c r="B28" s="69"/>
      <c r="C28" s="69"/>
      <c r="D28" s="69"/>
      <c r="E28" s="69"/>
      <c r="F28" s="69"/>
      <c r="G28" s="122"/>
      <c r="H28" s="69"/>
      <c r="I28" s="69"/>
      <c r="J28" s="69"/>
      <c r="K28" s="69"/>
      <c r="L28" s="69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8"/>
      <c r="B29" s="117">
        <f>B25/E26</f>
        <v>0</v>
      </c>
      <c r="C29" s="8"/>
      <c r="D29" s="8" t="s">
        <v>327</v>
      </c>
      <c r="E29" s="9">
        <f>C26</f>
        <v>4.24506E+23</v>
      </c>
      <c r="F29" s="8" t="s">
        <v>320</v>
      </c>
      <c r="G29" s="122"/>
      <c r="H29" s="117">
        <f>H25/K26</f>
        <v>0</v>
      </c>
      <c r="I29" s="8"/>
      <c r="J29" s="8" t="s">
        <v>327</v>
      </c>
      <c r="K29" s="9">
        <f>I26</f>
        <v>3.4932E+22</v>
      </c>
      <c r="L29" s="8" t="s">
        <v>320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8"/>
      <c r="B30" s="8"/>
      <c r="C30" s="8"/>
      <c r="D30" s="8"/>
      <c r="E30" s="8"/>
      <c r="F30" s="117">
        <f>B27</f>
        <v>-9333000000</v>
      </c>
      <c r="G30" s="122"/>
      <c r="H30" s="8"/>
      <c r="I30" s="8"/>
      <c r="J30" s="8"/>
      <c r="K30" s="8"/>
      <c r="L30" s="117">
        <f>H27</f>
        <v>-9333000000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8"/>
      <c r="B31" s="69"/>
      <c r="C31" s="69"/>
      <c r="D31" s="69"/>
      <c r="E31" s="69"/>
      <c r="F31" s="69"/>
      <c r="G31" s="122"/>
      <c r="H31" s="69"/>
      <c r="I31" s="69"/>
      <c r="J31" s="69"/>
      <c r="K31" s="69"/>
      <c r="L31" s="69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8"/>
      <c r="B32" s="127">
        <f>(B29/E29)-F30</f>
        <v>9333000000</v>
      </c>
      <c r="C32" s="8"/>
      <c r="D32" s="8" t="s">
        <v>327</v>
      </c>
      <c r="E32" s="8" t="s">
        <v>320</v>
      </c>
      <c r="F32" s="8"/>
      <c r="G32" s="122"/>
      <c r="H32" s="127">
        <f>(H29/K29)-L30</f>
        <v>9333000000</v>
      </c>
      <c r="I32" s="8"/>
      <c r="J32" s="8" t="s">
        <v>327</v>
      </c>
      <c r="K32" s="8" t="s">
        <v>320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120" t="s">
        <v>329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8"/>
      <c r="B34" s="109" t="s">
        <v>330</v>
      </c>
      <c r="C34" s="12"/>
      <c r="D34" s="8"/>
      <c r="E34" s="8"/>
      <c r="F34" s="8"/>
      <c r="G34" s="122"/>
      <c r="H34" s="109" t="s">
        <v>330</v>
      </c>
      <c r="I34" s="12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8"/>
      <c r="B35" s="8"/>
      <c r="C35" s="8" t="s">
        <v>315</v>
      </c>
      <c r="D35" s="8" t="s">
        <v>316</v>
      </c>
      <c r="E35" s="8" t="s">
        <v>317</v>
      </c>
      <c r="F35" s="8" t="s">
        <v>318</v>
      </c>
      <c r="G35" s="122"/>
      <c r="H35" s="8"/>
      <c r="I35" s="8" t="s">
        <v>315</v>
      </c>
      <c r="J35" s="8" t="s">
        <v>316</v>
      </c>
      <c r="K35" s="8" t="s">
        <v>317</v>
      </c>
      <c r="L35" s="8" t="s">
        <v>318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8"/>
      <c r="B36" s="8" t="s">
        <v>319</v>
      </c>
      <c r="C36" s="8" t="s">
        <v>320</v>
      </c>
      <c r="D36" s="117">
        <f>AntigenStartingConcentration!D32</f>
        <v>670207391426</v>
      </c>
      <c r="E36" s="8"/>
      <c r="F36" s="9">
        <v>0.0</v>
      </c>
      <c r="G36" s="122"/>
      <c r="H36" s="8" t="s">
        <v>319</v>
      </c>
      <c r="I36" s="8" t="s">
        <v>320</v>
      </c>
      <c r="J36" s="117">
        <f>AntigenStartingConcentration!D33</f>
        <v>205566937574</v>
      </c>
      <c r="K36" s="8"/>
      <c r="L36" s="9">
        <v>0.0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8"/>
      <c r="B37" s="8"/>
      <c r="C37" s="8"/>
      <c r="D37" s="8"/>
      <c r="E37" s="8"/>
      <c r="F37" s="8"/>
      <c r="G37" s="122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8"/>
      <c r="B38" s="8" t="s">
        <v>321</v>
      </c>
      <c r="C38" s="8" t="s">
        <v>322</v>
      </c>
      <c r="D38" s="8" t="s">
        <v>323</v>
      </c>
      <c r="E38" s="8"/>
      <c r="F38" s="8" t="s">
        <v>324</v>
      </c>
      <c r="G38" s="122"/>
      <c r="H38" s="8" t="s">
        <v>321</v>
      </c>
      <c r="I38" s="8" t="s">
        <v>322</v>
      </c>
      <c r="J38" s="8" t="s">
        <v>323</v>
      </c>
      <c r="K38" s="8"/>
      <c r="L38" s="8" t="s">
        <v>324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8"/>
      <c r="B39" s="12" t="s">
        <v>325</v>
      </c>
      <c r="C39" s="123">
        <f>-F39</f>
        <v>-9333000000</v>
      </c>
      <c r="D39" s="123">
        <f>-(2*F39)</f>
        <v>-18666000000</v>
      </c>
      <c r="E39" s="12"/>
      <c r="F39" s="123">
        <f>E11</f>
        <v>9333000000</v>
      </c>
      <c r="G39" s="122"/>
      <c r="H39" s="12" t="s">
        <v>325</v>
      </c>
      <c r="I39" s="123">
        <f>-L39</f>
        <v>-9333000000</v>
      </c>
      <c r="J39" s="123">
        <f>-(2*L39)</f>
        <v>-18666000000</v>
      </c>
      <c r="K39" s="12"/>
      <c r="L39" s="123">
        <f>E11</f>
        <v>9333000000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12"/>
      <c r="B40" s="8" t="s">
        <v>326</v>
      </c>
      <c r="C40" s="8" t="s">
        <v>320</v>
      </c>
      <c r="D40" s="117">
        <f>D36+D39</f>
        <v>651541391426</v>
      </c>
      <c r="E40" s="8"/>
      <c r="F40" s="123">
        <f>F36+F39</f>
        <v>9333000000</v>
      </c>
      <c r="G40" s="124"/>
      <c r="H40" s="8" t="s">
        <v>326</v>
      </c>
      <c r="I40" s="8" t="s">
        <v>320</v>
      </c>
      <c r="J40" s="117">
        <f>J36+J39</f>
        <v>186900937574</v>
      </c>
      <c r="K40" s="8"/>
      <c r="L40" s="123">
        <f>L36+L39</f>
        <v>9333000000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12"/>
      <c r="B41" s="12"/>
      <c r="C41" s="123">
        <f>(C39)</f>
        <v>-9333000000</v>
      </c>
      <c r="D41" s="12"/>
      <c r="E41" s="12"/>
      <c r="F41" s="12"/>
      <c r="G41" s="124"/>
      <c r="H41" s="12"/>
      <c r="I41" s="123">
        <f>(I39)</f>
        <v>-9333000000</v>
      </c>
      <c r="J41" s="12"/>
      <c r="K41" s="12"/>
      <c r="L41" s="12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/>
      <c r="B42" s="8"/>
      <c r="C42" s="8"/>
      <c r="D42" s="8"/>
      <c r="E42" s="8"/>
      <c r="F42" s="8"/>
      <c r="G42" s="122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/>
      <c r="B43" s="125" t="str">
        <f>G40</f>
        <v/>
      </c>
      <c r="C43" s="126"/>
      <c r="D43" s="58" t="s">
        <v>327</v>
      </c>
      <c r="E43" s="8"/>
      <c r="F43" s="8"/>
      <c r="G43" s="122"/>
      <c r="H43" s="125" t="str">
        <f>M40</f>
        <v/>
      </c>
      <c r="I43" s="126"/>
      <c r="J43" s="58" t="s">
        <v>327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/>
      <c r="B44" s="8" t="s">
        <v>320</v>
      </c>
      <c r="C44" s="9">
        <f>(D40)^2</f>
        <v>4.24506E+23</v>
      </c>
      <c r="E44" s="117">
        <f>F13</f>
        <v>45000000000</v>
      </c>
      <c r="F44" s="8"/>
      <c r="G44" s="122"/>
      <c r="H44" s="8" t="s">
        <v>320</v>
      </c>
      <c r="I44" s="9">
        <f>(J40)^2</f>
        <v>3.4932E+22</v>
      </c>
      <c r="K44" s="117">
        <f>F13</f>
        <v>45000000000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/>
      <c r="B45" s="117">
        <f>C41</f>
        <v>-9333000000</v>
      </c>
      <c r="C45" s="8"/>
      <c r="D45" s="8"/>
      <c r="E45" s="8"/>
      <c r="F45" s="8"/>
      <c r="G45" s="122"/>
      <c r="H45" s="117">
        <f>I41</f>
        <v>-9333000000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/>
      <c r="B46" s="69"/>
      <c r="C46" s="69"/>
      <c r="D46" s="69"/>
      <c r="E46" s="69"/>
      <c r="F46" s="69"/>
      <c r="G46" s="122"/>
      <c r="H46" s="69"/>
      <c r="I46" s="69"/>
      <c r="J46" s="69"/>
      <c r="K46" s="69"/>
      <c r="L46" s="69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/>
      <c r="B47" s="117">
        <f>B43/E44</f>
        <v>0</v>
      </c>
      <c r="C47" s="8"/>
      <c r="D47" s="8" t="s">
        <v>327</v>
      </c>
      <c r="E47" s="9">
        <f>C44</f>
        <v>4.24506E+23</v>
      </c>
      <c r="F47" s="8" t="s">
        <v>320</v>
      </c>
      <c r="G47" s="122"/>
      <c r="H47" s="117">
        <f>H43/K44</f>
        <v>0</v>
      </c>
      <c r="I47" s="8"/>
      <c r="J47" s="8" t="s">
        <v>327</v>
      </c>
      <c r="K47" s="9">
        <f>I44</f>
        <v>3.4932E+22</v>
      </c>
      <c r="L47" s="8" t="s">
        <v>320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/>
      <c r="B48" s="8"/>
      <c r="C48" s="8"/>
      <c r="D48" s="8"/>
      <c r="E48" s="8"/>
      <c r="F48" s="117">
        <f>B45</f>
        <v>-9333000000</v>
      </c>
      <c r="G48" s="122"/>
      <c r="H48" s="8"/>
      <c r="I48" s="8"/>
      <c r="J48" s="8"/>
      <c r="K48" s="8"/>
      <c r="L48" s="117">
        <f>H45</f>
        <v>-9333000000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/>
      <c r="B49" s="69"/>
      <c r="C49" s="69"/>
      <c r="D49" s="69"/>
      <c r="E49" s="69"/>
      <c r="F49" s="69"/>
      <c r="G49" s="122"/>
      <c r="H49" s="69"/>
      <c r="I49" s="69"/>
      <c r="J49" s="69"/>
      <c r="K49" s="69"/>
      <c r="L49" s="69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/>
      <c r="B50" s="127">
        <f>(B47/E47)-F48</f>
        <v>9333000000</v>
      </c>
      <c r="C50" s="8"/>
      <c r="D50" s="8" t="s">
        <v>327</v>
      </c>
      <c r="E50" s="8" t="s">
        <v>320</v>
      </c>
      <c r="F50" s="8"/>
      <c r="G50" s="122"/>
      <c r="H50" s="127">
        <f>(H47/K47)-L48</f>
        <v>9333000000</v>
      </c>
      <c r="I50" s="8"/>
      <c r="J50" s="8" t="s">
        <v>327</v>
      </c>
      <c r="K50" s="8" t="s">
        <v>320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8">
    <mergeCell ref="B25:C25"/>
    <mergeCell ref="D25:D26"/>
    <mergeCell ref="H25:I25"/>
    <mergeCell ref="J25:J26"/>
    <mergeCell ref="B43:C43"/>
    <mergeCell ref="D43:D44"/>
    <mergeCell ref="H43:I43"/>
    <mergeCell ref="J43:J44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9.14"/>
    <col customWidth="1" min="3" max="3" width="14.14"/>
    <col customWidth="1" min="4" max="4" width="29.57"/>
    <col customWidth="1" min="5" max="5" width="12.29"/>
    <col customWidth="1" min="7" max="7" width="27.71"/>
    <col customWidth="1" min="8" max="8" width="12.29"/>
    <col customWidth="1" min="9" max="9" width="7.0"/>
  </cols>
  <sheetData>
    <row r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8"/>
      <c r="B5" s="8"/>
      <c r="C5" s="8"/>
      <c r="D5" s="109" t="s">
        <v>331</v>
      </c>
      <c r="E5" s="8"/>
      <c r="F5" s="8"/>
      <c r="G5" s="109" t="s">
        <v>332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8"/>
      <c r="B8" s="8"/>
      <c r="C8" s="8"/>
      <c r="D8" s="8" t="s">
        <v>333</v>
      </c>
      <c r="E8" s="8" t="s">
        <v>334</v>
      </c>
      <c r="F8" s="8"/>
      <c r="G8" s="8"/>
      <c r="H8" s="8" t="s">
        <v>333</v>
      </c>
      <c r="I8" s="8" t="s">
        <v>334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8"/>
      <c r="B9" s="8"/>
      <c r="C9" s="8" t="s">
        <v>335</v>
      </c>
      <c r="D9" s="9">
        <v>4567.0</v>
      </c>
      <c r="E9" s="9">
        <v>3052.0</v>
      </c>
      <c r="F9" s="8"/>
      <c r="G9" s="8" t="s">
        <v>336</v>
      </c>
      <c r="H9" s="9">
        <f t="shared" ref="H9:I9" si="1">D16</f>
        <v>6393.166667</v>
      </c>
      <c r="I9" s="9">
        <f t="shared" si="1"/>
        <v>7276.5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8"/>
      <c r="B10" s="8"/>
      <c r="C10" s="8"/>
      <c r="D10" s="9">
        <v>2497.0</v>
      </c>
      <c r="E10" s="9">
        <v>252.0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8"/>
      <c r="B11" s="8"/>
      <c r="C11" s="8"/>
      <c r="D11" s="9">
        <v>1577.0</v>
      </c>
      <c r="E11" s="9">
        <v>1020.0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8"/>
      <c r="B12" s="8"/>
      <c r="C12" s="8" t="s">
        <v>337</v>
      </c>
      <c r="D12" s="9">
        <v>4414.0</v>
      </c>
      <c r="E12" s="9">
        <v>1621.0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8"/>
      <c r="B13" s="8"/>
      <c r="C13" s="8"/>
      <c r="D13" s="9">
        <v>2136.0</v>
      </c>
      <c r="E13" s="9">
        <v>18923.0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8"/>
      <c r="B14" s="8"/>
      <c r="C14" s="8"/>
      <c r="D14" s="9">
        <v>23168.0</v>
      </c>
      <c r="E14" s="9">
        <v>18791.0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8"/>
      <c r="B16" s="8"/>
      <c r="C16" s="8" t="s">
        <v>338</v>
      </c>
      <c r="D16" s="9">
        <f t="shared" ref="D16:E16" si="2">AVERAGE(D9:D14)</f>
        <v>6393.166667</v>
      </c>
      <c r="E16" s="9">
        <f t="shared" si="2"/>
        <v>7276.5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8"/>
      <c r="B17" s="8"/>
      <c r="C17" s="8" t="s">
        <v>339</v>
      </c>
      <c r="D17" s="9">
        <f t="shared" ref="D17:E17" si="3">STDEV(D9:D14)</f>
        <v>8308.382067</v>
      </c>
      <c r="E17" s="9">
        <f t="shared" si="3"/>
        <v>9017.12976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8"/>
      <c r="B18" s="8"/>
      <c r="C18" s="8" t="s">
        <v>340</v>
      </c>
      <c r="D18" s="9">
        <f t="shared" ref="D18:E18" si="4">D17/SQRT(6)</f>
        <v>3391.882775</v>
      </c>
      <c r="E18" s="9">
        <f t="shared" si="4"/>
        <v>3681.227809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>
      <c r="A21" s="8"/>
      <c r="B21" s="8"/>
      <c r="C21" s="8" t="s">
        <v>341</v>
      </c>
      <c r="D21" s="9">
        <f t="shared" ref="D21:E21" si="5">D16+D18</f>
        <v>9785.049442</v>
      </c>
      <c r="E21" s="9">
        <f t="shared" si="5"/>
        <v>10957.72781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8"/>
      <c r="B22" s="8"/>
      <c r="C22" s="8"/>
      <c r="D22" s="9">
        <f t="shared" ref="D22:E22" si="6">D16-D18</f>
        <v>3001.283891</v>
      </c>
      <c r="E22" s="9">
        <f t="shared" si="6"/>
        <v>3595.272191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8"/>
      <c r="B26" s="109" t="s">
        <v>342</v>
      </c>
      <c r="C26" s="8"/>
      <c r="D26" s="9">
        <f t="shared" ref="D26:E26" si="7">D21*134.3</f>
        <v>1314132.14</v>
      </c>
      <c r="E26" s="9">
        <f t="shared" si="7"/>
        <v>1471622.845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8"/>
      <c r="B27" s="8"/>
      <c r="C27" s="8"/>
      <c r="D27" s="9">
        <f t="shared" ref="D27:E27" si="8">D22*134.3</f>
        <v>403072.4266</v>
      </c>
      <c r="E27" s="9">
        <f t="shared" si="8"/>
        <v>482845.0552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8"/>
      <c r="B28" s="12"/>
      <c r="C28" s="12"/>
      <c r="D28" s="12"/>
      <c r="E28" s="12"/>
      <c r="F28" s="12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12"/>
      <c r="B29" s="12"/>
      <c r="C29" s="12"/>
      <c r="D29" s="12"/>
      <c r="E29" s="12"/>
      <c r="F29" s="12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12"/>
      <c r="B30" s="109" t="s">
        <v>343</v>
      </c>
      <c r="C30" s="12"/>
      <c r="D30" s="123">
        <f>Step1!E14*D26*(1*10^6)</f>
        <v>670207391425940</v>
      </c>
      <c r="E30" s="123">
        <f>Step1!E14*E26*(1*10^6)</f>
        <v>750527650836521</v>
      </c>
      <c r="F30" s="12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12"/>
      <c r="B31" s="128" t="s">
        <v>306</v>
      </c>
      <c r="C31" s="12"/>
      <c r="D31" s="123">
        <f>Step1!E14*D27*(1*10^6)</f>
        <v>205566937574060</v>
      </c>
      <c r="E31" s="123">
        <f>Step1!E14*E27*(1*10^6)</f>
        <v>246250978163479</v>
      </c>
      <c r="F31" s="12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12"/>
      <c r="B32" s="12" t="s">
        <v>344</v>
      </c>
      <c r="C32" s="12"/>
      <c r="D32" s="123">
        <f>(D30/Step1!E10)/1000</f>
        <v>670207391426</v>
      </c>
      <c r="E32" s="123">
        <f>(E30/Step1!E10)/1000</f>
        <v>750527650837</v>
      </c>
      <c r="F32" s="12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12"/>
      <c r="B33" s="12"/>
      <c r="C33" s="12"/>
      <c r="D33" s="123">
        <f>(D31/Step1!E10)/1000</f>
        <v>205566937574</v>
      </c>
      <c r="E33" s="123">
        <f>(E31/Step1!E10)/1000</f>
        <v>246250978163</v>
      </c>
      <c r="F33" s="12"/>
      <c r="G33" s="8"/>
      <c r="H33" s="8"/>
      <c r="I33" s="8"/>
      <c r="J33" s="129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14"/>
  </cols>
  <sheetData>
    <row r="1">
      <c r="A1" s="2" t="s">
        <v>19</v>
      </c>
      <c r="B1" s="1" t="s">
        <v>20</v>
      </c>
    </row>
    <row r="2">
      <c r="A2" s="1" t="s">
        <v>21</v>
      </c>
      <c r="B2" s="6">
        <v>0.2665</v>
      </c>
      <c r="D2" s="1" t="s">
        <v>22</v>
      </c>
    </row>
    <row r="3">
      <c r="A3" s="2" t="s">
        <v>23</v>
      </c>
      <c r="B3" s="7">
        <v>0.2372</v>
      </c>
    </row>
    <row r="4">
      <c r="A4" s="1" t="s">
        <v>24</v>
      </c>
      <c r="B4" s="6">
        <v>0.0606</v>
      </c>
    </row>
    <row r="5">
      <c r="A5" s="2" t="s">
        <v>25</v>
      </c>
      <c r="B5" s="6">
        <v>0.4357</v>
      </c>
    </row>
  </sheetData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29"/>
    <col customWidth="1" min="2" max="2" width="12.57"/>
    <col customWidth="1" min="3" max="3" width="14.0"/>
    <col customWidth="1" min="4" max="4" width="31.29"/>
    <col customWidth="1" min="5" max="5" width="12.57"/>
    <col customWidth="1" min="7" max="7" width="6.86"/>
  </cols>
  <sheetData>
    <row r="1">
      <c r="A1" s="130" t="s">
        <v>345</v>
      </c>
      <c r="B1" s="8"/>
      <c r="C1" s="8"/>
      <c r="D1" s="130" t="s">
        <v>346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8"/>
      <c r="B2" s="8"/>
      <c r="C2" s="8"/>
      <c r="D2" s="8"/>
      <c r="E2" s="8"/>
      <c r="F2" s="8"/>
      <c r="G2" s="105" t="s">
        <v>347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105" t="s">
        <v>348</v>
      </c>
      <c r="B3" s="106">
        <v>0.0</v>
      </c>
      <c r="C3" s="131" t="s">
        <v>349</v>
      </c>
      <c r="D3" s="105" t="s">
        <v>348</v>
      </c>
      <c r="E3" s="106">
        <v>0.0</v>
      </c>
      <c r="F3" s="8"/>
      <c r="G3" s="67" t="s">
        <v>350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105" t="s">
        <v>351</v>
      </c>
      <c r="B4" s="106">
        <v>250000.0</v>
      </c>
      <c r="D4" s="105" t="s">
        <v>351</v>
      </c>
      <c r="E4" s="106">
        <v>250000.0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105" t="s">
        <v>352</v>
      </c>
      <c r="B5" s="132">
        <v>6.47522E14</v>
      </c>
      <c r="D5" s="105" t="s">
        <v>352</v>
      </c>
      <c r="E5" s="132">
        <v>6.47522E14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105" t="s">
        <v>353</v>
      </c>
      <c r="B6" s="106">
        <v>0.0</v>
      </c>
      <c r="D6" s="105" t="s">
        <v>353</v>
      </c>
      <c r="E6" s="106">
        <v>0.0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8" t="s">
        <v>354</v>
      </c>
      <c r="B7" s="9">
        <f>AntigenStartingConcentration!E27</f>
        <v>482845.0552</v>
      </c>
      <c r="D7" s="8" t="s">
        <v>354</v>
      </c>
      <c r="E7" s="9">
        <f>AntigenStartingConcentration!D26</f>
        <v>1314132.14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8" t="s">
        <v>355</v>
      </c>
      <c r="B8" s="117">
        <f>ICE!F12*55.56</f>
        <v>1111200000</v>
      </c>
      <c r="D8" s="8" t="s">
        <v>355</v>
      </c>
      <c r="E8" s="117">
        <f>ICE!F13*55.56</f>
        <v>2500200000000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8" t="s">
        <v>356</v>
      </c>
      <c r="B9" s="115">
        <f>ICE!E6</f>
        <v>18300</v>
      </c>
      <c r="D9" s="8" t="s">
        <v>356</v>
      </c>
      <c r="E9" s="115">
        <f>ICE!E6</f>
        <v>18300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8" t="s">
        <v>357</v>
      </c>
      <c r="B10" s="117">
        <v>900000.0</v>
      </c>
      <c r="D10" s="8" t="s">
        <v>357</v>
      </c>
      <c r="E10" s="117">
        <v>900000.0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8" t="s">
        <v>358</v>
      </c>
      <c r="B11" s="117">
        <v>60.0</v>
      </c>
      <c r="D11" s="8" t="s">
        <v>358</v>
      </c>
      <c r="E11" s="117">
        <v>60.0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8" t="s">
        <v>359</v>
      </c>
      <c r="B12" s="117">
        <v>6.022E23</v>
      </c>
      <c r="D12" s="8" t="s">
        <v>359</v>
      </c>
      <c r="E12" s="117">
        <v>6.022E23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8"/>
      <c r="B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8" t="s">
        <v>360</v>
      </c>
      <c r="B14" s="117">
        <f>(((B5)*B4)/(B3+B4+B6))*POWER(10,6)</f>
        <v>6.47522E+20</v>
      </c>
      <c r="D14" s="8" t="s">
        <v>360</v>
      </c>
      <c r="E14" s="117">
        <f>(((E5)*E4)/(E3+E4+E6))*POWER(10,6)</f>
        <v>6.47522E+20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8" t="s">
        <v>361</v>
      </c>
      <c r="B15" s="117">
        <f>B7*B14/B12</f>
        <v>519.1843172</v>
      </c>
      <c r="D15" s="8" t="s">
        <v>361</v>
      </c>
      <c r="E15" s="117">
        <f>E7*E14/E12</f>
        <v>1413.034659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133" t="s">
        <v>362</v>
      </c>
      <c r="B16" s="117">
        <f>B9*B14/B12</f>
        <v>19.67727101</v>
      </c>
      <c r="D16" s="133" t="s">
        <v>362</v>
      </c>
      <c r="E16" s="117">
        <f>E9*E14/E12</f>
        <v>19.67727101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8" t="s">
        <v>363</v>
      </c>
      <c r="B17" s="117">
        <f>B16/((B15-B16)*B8)</f>
        <v>0</v>
      </c>
      <c r="D17" s="8" t="s">
        <v>363</v>
      </c>
      <c r="E17" s="117">
        <f>E16/((E15-E16)*E8)</f>
        <v>0</v>
      </c>
      <c r="F17" s="8"/>
      <c r="G17" s="129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8" t="s">
        <v>364</v>
      </c>
      <c r="B18" s="117">
        <f>B16+B17</f>
        <v>19.67727101</v>
      </c>
      <c r="D18" s="8" t="s">
        <v>364</v>
      </c>
      <c r="E18" s="117">
        <f>E16+E17</f>
        <v>19.67727101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8" t="s">
        <v>365</v>
      </c>
      <c r="B19" s="134">
        <f>B16/B18*100</f>
        <v>100</v>
      </c>
      <c r="D19" s="8" t="s">
        <v>365</v>
      </c>
      <c r="E19" s="134">
        <f>E16/E18*100</f>
        <v>100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8" t="s">
        <v>366</v>
      </c>
      <c r="B20" s="135">
        <f>B18*B12/10^6</f>
        <v>1.18497E+19</v>
      </c>
      <c r="D20" s="8" t="s">
        <v>366</v>
      </c>
      <c r="E20" s="135">
        <f>E18*E12/10^6</f>
        <v>1.18497E+19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>
      <c r="A21" s="8" t="s">
        <v>367</v>
      </c>
      <c r="B21" s="135">
        <f>B20*(B3+B4+B6)</f>
        <v>2.96241E+24</v>
      </c>
      <c r="D21" s="8" t="s">
        <v>367</v>
      </c>
      <c r="E21" s="135">
        <f>E20*(E3+E4+E6)</f>
        <v>2.96241E+24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8" t="s">
        <v>368</v>
      </c>
      <c r="B22" s="135">
        <f>B21/B12</f>
        <v>4.919317752</v>
      </c>
      <c r="C22" s="8"/>
      <c r="D22" s="8" t="s">
        <v>368</v>
      </c>
      <c r="E22" s="135">
        <f>E21/E12</f>
        <v>4.919317752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8" t="s">
        <v>369</v>
      </c>
      <c r="B23" s="135">
        <f>B22*10^6/B10</f>
        <v>5.465908613</v>
      </c>
      <c r="C23" s="8"/>
      <c r="D23" s="8" t="s">
        <v>369</v>
      </c>
      <c r="E23" s="135">
        <f>E22*10^6/E10</f>
        <v>5.465908613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136" t="s">
        <v>370</v>
      </c>
      <c r="B24" s="137">
        <f>B23*1000/B11</f>
        <v>91.09847688</v>
      </c>
      <c r="C24" s="8"/>
      <c r="D24" s="136" t="s">
        <v>370</v>
      </c>
      <c r="E24" s="137">
        <f>E23*1000/E11</f>
        <v>91.09847688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</sheetData>
  <mergeCells count="1">
    <mergeCell ref="C3:C2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65.71"/>
    <col customWidth="1" min="3" max="3" width="19.86"/>
  </cols>
  <sheetData>
    <row r="1">
      <c r="A1" s="8" t="s">
        <v>26</v>
      </c>
      <c r="B1" s="8" t="s">
        <v>27</v>
      </c>
      <c r="C1" s="8" t="s">
        <v>28</v>
      </c>
      <c r="D1" s="8" t="s">
        <v>29</v>
      </c>
      <c r="E1" s="9">
        <v>2281920.0</v>
      </c>
    </row>
    <row r="2">
      <c r="A2" s="9">
        <v>1.0</v>
      </c>
      <c r="B2" s="9">
        <v>229811.0</v>
      </c>
      <c r="C2" s="9">
        <f>E1/12</f>
        <v>190160</v>
      </c>
      <c r="D2" s="8" t="s">
        <v>30</v>
      </c>
      <c r="E2" s="9">
        <f>SUM(B2:B13)</f>
        <v>2583183</v>
      </c>
    </row>
    <row r="3">
      <c r="A3" s="9">
        <f t="shared" ref="A3:A13" si="1">A2+1</f>
        <v>2</v>
      </c>
      <c r="B3" s="9">
        <v>206663.0</v>
      </c>
      <c r="C3" s="9">
        <f>E1/12</f>
        <v>190160</v>
      </c>
      <c r="D3" s="8"/>
      <c r="E3" s="8"/>
    </row>
    <row r="4">
      <c r="A4" s="9">
        <f t="shared" si="1"/>
        <v>3</v>
      </c>
      <c r="B4" s="9">
        <v>236480.0</v>
      </c>
      <c r="C4" s="9">
        <f>E1/12</f>
        <v>190160</v>
      </c>
      <c r="D4" s="8"/>
      <c r="E4" s="8"/>
    </row>
    <row r="5">
      <c r="A5" s="9">
        <f t="shared" si="1"/>
        <v>4</v>
      </c>
      <c r="B5" s="9">
        <v>211698.0</v>
      </c>
      <c r="C5" s="9">
        <f>E1/12</f>
        <v>190160</v>
      </c>
      <c r="D5" s="8"/>
      <c r="E5" s="8"/>
    </row>
    <row r="6">
      <c r="A6" s="9">
        <f t="shared" si="1"/>
        <v>5</v>
      </c>
      <c r="B6" s="9">
        <v>219313.0</v>
      </c>
      <c r="C6" s="9">
        <f>E1/12</f>
        <v>190160</v>
      </c>
      <c r="D6" s="8"/>
      <c r="E6" s="8"/>
    </row>
    <row r="7">
      <c r="A7" s="9">
        <f t="shared" si="1"/>
        <v>6</v>
      </c>
      <c r="B7" s="9">
        <v>201962.0</v>
      </c>
      <c r="C7" s="9">
        <f>E1/12</f>
        <v>190160</v>
      </c>
      <c r="D7" s="8"/>
      <c r="E7" s="8"/>
    </row>
    <row r="8">
      <c r="A8" s="9">
        <f t="shared" si="1"/>
        <v>7</v>
      </c>
      <c r="B8" s="9">
        <v>213352.0</v>
      </c>
      <c r="C8" s="9">
        <f>E1/12</f>
        <v>190160</v>
      </c>
      <c r="D8" s="8"/>
      <c r="E8" s="8"/>
    </row>
    <row r="9">
      <c r="A9" s="9">
        <f t="shared" si="1"/>
        <v>8</v>
      </c>
      <c r="B9" s="9">
        <v>213365.0</v>
      </c>
      <c r="C9" s="9">
        <f>E1/12</f>
        <v>190160</v>
      </c>
      <c r="D9" s="8"/>
      <c r="E9" s="8"/>
    </row>
    <row r="10">
      <c r="A10" s="9">
        <f t="shared" si="1"/>
        <v>9</v>
      </c>
      <c r="B10" s="9">
        <v>204681.0</v>
      </c>
      <c r="C10" s="9">
        <f>E1/12</f>
        <v>190160</v>
      </c>
      <c r="D10" s="8"/>
      <c r="E10" s="8"/>
    </row>
    <row r="11">
      <c r="A11" s="9">
        <f t="shared" si="1"/>
        <v>10</v>
      </c>
      <c r="B11" s="9">
        <v>213183.0</v>
      </c>
      <c r="C11" s="9">
        <f>E1/12</f>
        <v>190160</v>
      </c>
      <c r="D11" s="8"/>
      <c r="E11" s="8"/>
    </row>
    <row r="12">
      <c r="A12" s="9">
        <f t="shared" si="1"/>
        <v>11</v>
      </c>
      <c r="B12" s="9">
        <v>208024.0</v>
      </c>
      <c r="C12" s="9">
        <f>E1/12</f>
        <v>190160</v>
      </c>
      <c r="D12" s="8"/>
      <c r="E12" s="8"/>
    </row>
    <row r="13">
      <c r="A13" s="9">
        <f t="shared" si="1"/>
        <v>12</v>
      </c>
      <c r="B13" s="9">
        <v>224651.0</v>
      </c>
      <c r="C13" s="9">
        <f>E1/12</f>
        <v>190160</v>
      </c>
      <c r="D13" s="8"/>
      <c r="E13" s="8"/>
    </row>
    <row r="14">
      <c r="A14" s="8"/>
      <c r="B14" s="8"/>
      <c r="C14" s="8"/>
      <c r="D14" s="8"/>
      <c r="E14" s="8"/>
    </row>
    <row r="15">
      <c r="A15" s="8"/>
      <c r="B15" s="8"/>
      <c r="C15" s="8"/>
      <c r="D15" s="8"/>
      <c r="E15" s="8"/>
    </row>
    <row r="16">
      <c r="A16" s="8"/>
      <c r="B16" s="8"/>
      <c r="C16" s="8"/>
      <c r="D16" s="8"/>
      <c r="E16" s="8"/>
    </row>
    <row r="17">
      <c r="A17" s="8"/>
      <c r="B17" s="8"/>
      <c r="C17" s="8"/>
      <c r="D17" s="8"/>
      <c r="E17" s="8"/>
    </row>
    <row r="18">
      <c r="A18" s="8"/>
      <c r="B18" s="8" t="s">
        <v>31</v>
      </c>
      <c r="C18" s="10"/>
      <c r="D18" s="8"/>
      <c r="E18" s="8"/>
    </row>
    <row r="19">
      <c r="A19" s="8"/>
      <c r="B19" s="11" t="s">
        <v>32</v>
      </c>
      <c r="C19" s="12"/>
      <c r="D19" s="8"/>
      <c r="E19" s="8"/>
    </row>
  </sheetData>
  <hyperlinks>
    <hyperlink r:id="rId1" ref="B19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8.29"/>
    <col customWidth="1" min="3" max="3" width="65.57"/>
  </cols>
  <sheetData>
    <row r="1">
      <c r="A1" s="8" t="s">
        <v>26</v>
      </c>
      <c r="B1" s="8" t="s">
        <v>27</v>
      </c>
      <c r="C1" s="8" t="s">
        <v>28</v>
      </c>
      <c r="D1" s="8" t="s">
        <v>29</v>
      </c>
      <c r="E1" s="9">
        <f>2233973 + 42540</f>
        <v>2276513</v>
      </c>
    </row>
    <row r="2">
      <c r="A2" s="9">
        <v>1.0</v>
      </c>
      <c r="B2" s="9">
        <v>204291.0</v>
      </c>
      <c r="C2" s="9">
        <f>E1/12</f>
        <v>189709.4167</v>
      </c>
      <c r="D2" s="8" t="s">
        <v>30</v>
      </c>
      <c r="E2" s="9">
        <f>SUM(B2:B13)</f>
        <v>2555333</v>
      </c>
    </row>
    <row r="3">
      <c r="A3" s="9">
        <f t="shared" ref="A3:A13" si="1">A2+1</f>
        <v>2</v>
      </c>
      <c r="B3" s="9">
        <v>211454.0</v>
      </c>
      <c r="C3" s="9">
        <f>E1/12</f>
        <v>189709.4167</v>
      </c>
      <c r="D3" s="8"/>
      <c r="E3" s="8"/>
    </row>
    <row r="4">
      <c r="A4" s="9">
        <f t="shared" si="1"/>
        <v>3</v>
      </c>
      <c r="B4" s="9">
        <v>242613.0</v>
      </c>
      <c r="C4" s="9">
        <f>E1/12</f>
        <v>189709.4167</v>
      </c>
      <c r="D4" s="8"/>
      <c r="E4" s="8"/>
    </row>
    <row r="5">
      <c r="A5" s="9">
        <f t="shared" si="1"/>
        <v>4</v>
      </c>
      <c r="B5" s="9">
        <v>218715.0</v>
      </c>
      <c r="C5" s="9">
        <f>E1/12</f>
        <v>189709.4167</v>
      </c>
      <c r="D5" s="8"/>
      <c r="E5" s="8"/>
    </row>
    <row r="6">
      <c r="A6" s="9">
        <f t="shared" si="1"/>
        <v>5</v>
      </c>
      <c r="B6" s="9">
        <v>216659.0</v>
      </c>
      <c r="C6" s="9">
        <f>E1/12</f>
        <v>189709.4167</v>
      </c>
      <c r="D6" s="8"/>
      <c r="E6" s="8"/>
    </row>
    <row r="7">
      <c r="A7" s="9">
        <f t="shared" si="1"/>
        <v>6</v>
      </c>
      <c r="B7" s="9">
        <v>194830.0</v>
      </c>
      <c r="C7" s="9">
        <f>E1/12</f>
        <v>189709.4167</v>
      </c>
      <c r="D7" s="8"/>
      <c r="E7" s="8"/>
    </row>
    <row r="8">
      <c r="A8" s="9">
        <f t="shared" si="1"/>
        <v>7</v>
      </c>
      <c r="B8" s="9">
        <v>220238.0</v>
      </c>
      <c r="C8" s="9">
        <f>E1/12</f>
        <v>189709.4167</v>
      </c>
      <c r="D8" s="8"/>
      <c r="E8" s="8"/>
    </row>
    <row r="9">
      <c r="A9" s="9">
        <f t="shared" si="1"/>
        <v>8</v>
      </c>
      <c r="B9" s="9">
        <v>209450.0</v>
      </c>
      <c r="C9" s="9">
        <f>E1/12</f>
        <v>189709.4167</v>
      </c>
      <c r="D9" s="8"/>
      <c r="E9" s="8"/>
    </row>
    <row r="10">
      <c r="A10" s="9">
        <f t="shared" si="1"/>
        <v>9</v>
      </c>
      <c r="B10" s="9">
        <v>214311.0</v>
      </c>
      <c r="C10" s="9">
        <f>E1/12</f>
        <v>189709.4167</v>
      </c>
      <c r="D10" s="8"/>
      <c r="E10" s="8"/>
    </row>
    <row r="11">
      <c r="A11" s="9">
        <f t="shared" si="1"/>
        <v>10</v>
      </c>
      <c r="B11" s="9">
        <v>208729.0</v>
      </c>
      <c r="C11" s="9">
        <f>E1/12</f>
        <v>189709.4167</v>
      </c>
      <c r="D11" s="8"/>
      <c r="E11" s="8"/>
    </row>
    <row r="12">
      <c r="A12" s="9">
        <f t="shared" si="1"/>
        <v>11</v>
      </c>
      <c r="B12" s="9">
        <v>201761.0</v>
      </c>
      <c r="C12" s="9">
        <f>E1/12</f>
        <v>189709.4167</v>
      </c>
      <c r="D12" s="8"/>
      <c r="E12" s="8"/>
    </row>
    <row r="13">
      <c r="A13" s="9">
        <f t="shared" si="1"/>
        <v>12</v>
      </c>
      <c r="B13" s="9">
        <v>212282.0</v>
      </c>
      <c r="C13" s="9">
        <f>E1/12</f>
        <v>189709.4167</v>
      </c>
      <c r="D13" s="8"/>
      <c r="E13" s="8"/>
    </row>
    <row r="14">
      <c r="A14" s="8"/>
      <c r="B14" s="8"/>
      <c r="C14" s="8"/>
      <c r="D14" s="8"/>
      <c r="E14" s="8"/>
    </row>
    <row r="15">
      <c r="A15" s="8"/>
      <c r="B15" s="8"/>
      <c r="C15" s="8"/>
      <c r="D15" s="8"/>
      <c r="E15" s="8"/>
    </row>
    <row r="16">
      <c r="A16" s="8"/>
      <c r="B16" s="8"/>
      <c r="C16" s="8"/>
      <c r="D16" s="8"/>
      <c r="E16" s="8"/>
    </row>
    <row r="17">
      <c r="A17" s="8"/>
      <c r="B17" s="8"/>
      <c r="C17" s="8" t="s">
        <v>33</v>
      </c>
      <c r="D17" s="8"/>
      <c r="E17" s="8"/>
    </row>
    <row r="18">
      <c r="A18" s="8"/>
      <c r="B18" s="8"/>
      <c r="C18" s="11" t="s">
        <v>34</v>
      </c>
      <c r="D18" s="12"/>
      <c r="E18" s="12"/>
    </row>
  </sheetData>
  <hyperlinks>
    <hyperlink r:id="rId1" ref="C18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66.29"/>
    <col customWidth="1" min="3" max="3" width="19.86"/>
  </cols>
  <sheetData>
    <row r="1">
      <c r="A1" s="8" t="s">
        <v>26</v>
      </c>
      <c r="B1" s="8" t="s">
        <v>27</v>
      </c>
      <c r="C1" s="8" t="s">
        <v>28</v>
      </c>
      <c r="D1" s="8" t="s">
        <v>29</v>
      </c>
      <c r="E1" s="9">
        <v>2209649.0</v>
      </c>
    </row>
    <row r="2">
      <c r="A2" s="9">
        <v>1.0</v>
      </c>
      <c r="B2" s="9">
        <v>239297.0</v>
      </c>
      <c r="C2" s="9">
        <f>E1/12</f>
        <v>184137.4167</v>
      </c>
      <c r="D2" s="8" t="s">
        <v>30</v>
      </c>
      <c r="E2" s="9">
        <f>SUM(B2:B13)</f>
        <v>2490434</v>
      </c>
    </row>
    <row r="3">
      <c r="A3" s="9">
        <f t="shared" ref="A3:A13" si="1">A2+1</f>
        <v>2</v>
      </c>
      <c r="B3" s="9">
        <v>182621.0</v>
      </c>
      <c r="C3" s="9">
        <f>E1/12</f>
        <v>184137.4167</v>
      </c>
      <c r="D3" s="8"/>
      <c r="E3" s="8"/>
    </row>
    <row r="4">
      <c r="A4" s="9">
        <f t="shared" si="1"/>
        <v>3</v>
      </c>
      <c r="B4" s="9">
        <v>228043.0</v>
      </c>
      <c r="C4" s="9">
        <f>E1/12</f>
        <v>184137.4167</v>
      </c>
      <c r="D4" s="8"/>
      <c r="E4" s="8"/>
    </row>
    <row r="5">
      <c r="A5" s="9">
        <f t="shared" si="1"/>
        <v>4</v>
      </c>
      <c r="B5" s="9">
        <v>191972.0</v>
      </c>
      <c r="C5" s="9">
        <f>E1/12</f>
        <v>184137.4167</v>
      </c>
      <c r="D5" s="8"/>
      <c r="E5" s="8"/>
    </row>
    <row r="6">
      <c r="A6" s="9">
        <f t="shared" si="1"/>
        <v>5</v>
      </c>
      <c r="B6" s="9">
        <v>211983.0</v>
      </c>
      <c r="C6" s="9">
        <f>E1/12</f>
        <v>184137.4167</v>
      </c>
      <c r="D6" s="8"/>
      <c r="E6" s="8"/>
    </row>
    <row r="7">
      <c r="A7" s="9">
        <f t="shared" si="1"/>
        <v>6</v>
      </c>
      <c r="B7" s="9">
        <v>217462.0</v>
      </c>
      <c r="C7" s="9">
        <f>E1/12</f>
        <v>184137.4167</v>
      </c>
      <c r="D7" s="8"/>
      <c r="E7" s="8"/>
    </row>
    <row r="8">
      <c r="A8" s="9">
        <f t="shared" si="1"/>
        <v>7</v>
      </c>
      <c r="B8" s="9">
        <v>193015.0</v>
      </c>
      <c r="C8" s="9">
        <f>E1/12</f>
        <v>184137.4167</v>
      </c>
      <c r="D8" s="8"/>
      <c r="E8" s="8"/>
    </row>
    <row r="9">
      <c r="A9" s="9">
        <f t="shared" si="1"/>
        <v>8</v>
      </c>
      <c r="B9" s="9">
        <v>204626.0</v>
      </c>
      <c r="C9" s="9">
        <f>E1/12</f>
        <v>184137.4167</v>
      </c>
      <c r="D9" s="8"/>
      <c r="E9" s="8"/>
    </row>
    <row r="10">
      <c r="A10" s="9">
        <f t="shared" si="1"/>
        <v>9</v>
      </c>
      <c r="B10" s="9">
        <v>196092.0</v>
      </c>
      <c r="C10" s="9">
        <f>E1/12</f>
        <v>184137.4167</v>
      </c>
      <c r="D10" s="8"/>
      <c r="E10" s="8"/>
    </row>
    <row r="11">
      <c r="A11" s="9">
        <f t="shared" si="1"/>
        <v>10</v>
      </c>
      <c r="B11" s="9">
        <v>215103.0</v>
      </c>
      <c r="C11" s="9">
        <f>E1/12</f>
        <v>184137.4167</v>
      </c>
      <c r="D11" s="8"/>
      <c r="E11" s="8"/>
    </row>
    <row r="12">
      <c r="A12" s="9">
        <f t="shared" si="1"/>
        <v>11</v>
      </c>
      <c r="B12" s="9">
        <v>201762.0</v>
      </c>
      <c r="C12" s="9">
        <f>E1/12</f>
        <v>184137.4167</v>
      </c>
      <c r="D12" s="8"/>
      <c r="E12" s="8"/>
    </row>
    <row r="13">
      <c r="A13" s="9">
        <f t="shared" si="1"/>
        <v>12</v>
      </c>
      <c r="B13" s="9">
        <v>208458.0</v>
      </c>
      <c r="C13" s="9">
        <f>E1/12</f>
        <v>184137.4167</v>
      </c>
      <c r="D13" s="8"/>
      <c r="E13" s="8"/>
    </row>
    <row r="14">
      <c r="A14" s="8"/>
      <c r="B14" s="8"/>
      <c r="C14" s="8"/>
      <c r="D14" s="8"/>
      <c r="E14" s="8"/>
    </row>
    <row r="15">
      <c r="A15" s="8"/>
      <c r="B15" s="8"/>
      <c r="C15" s="8"/>
      <c r="D15" s="8"/>
      <c r="E15" s="8"/>
    </row>
    <row r="16">
      <c r="A16" s="8"/>
      <c r="B16" s="8"/>
      <c r="C16" s="8"/>
      <c r="D16" s="8"/>
      <c r="E16" s="8"/>
    </row>
    <row r="17">
      <c r="A17" s="8"/>
      <c r="B17" s="8"/>
      <c r="C17" s="8"/>
      <c r="D17" s="8"/>
      <c r="E17" s="8"/>
    </row>
    <row r="18">
      <c r="A18" s="8"/>
      <c r="B18" s="8" t="s">
        <v>35</v>
      </c>
      <c r="C18" s="8"/>
      <c r="D18" s="8"/>
      <c r="E18" s="8"/>
    </row>
    <row r="19">
      <c r="A19" s="8"/>
      <c r="B19" s="11" t="s">
        <v>36</v>
      </c>
      <c r="C19" s="12"/>
      <c r="D19" s="8"/>
      <c r="E19" s="8"/>
    </row>
  </sheetData>
  <hyperlinks>
    <hyperlink r:id="rId1" ref="B19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64.43"/>
    <col customWidth="1" min="3" max="3" width="19.86"/>
  </cols>
  <sheetData>
    <row r="1">
      <c r="A1" s="8" t="s">
        <v>26</v>
      </c>
      <c r="B1" s="8" t="s">
        <v>27</v>
      </c>
      <c r="C1" s="8" t="s">
        <v>28</v>
      </c>
      <c r="D1" s="8" t="s">
        <v>29</v>
      </c>
      <c r="E1" s="9">
        <v>2220957.0</v>
      </c>
    </row>
    <row r="2">
      <c r="A2" s="9">
        <v>1.0</v>
      </c>
      <c r="B2" s="9">
        <v>229598.0</v>
      </c>
      <c r="C2" s="9">
        <f>E1/12</f>
        <v>185079.75</v>
      </c>
      <c r="D2" s="8" t="s">
        <v>30</v>
      </c>
      <c r="E2" s="9">
        <f>SUM(B2:B13)</f>
        <v>2518525</v>
      </c>
    </row>
    <row r="3">
      <c r="A3" s="9">
        <f t="shared" ref="A3:A13" si="1">A2+1</f>
        <v>2</v>
      </c>
      <c r="B3" s="9">
        <v>191057.0</v>
      </c>
      <c r="C3" s="9">
        <f>E1/12</f>
        <v>185079.75</v>
      </c>
      <c r="D3" s="8"/>
      <c r="E3" s="8"/>
    </row>
    <row r="4">
      <c r="A4" s="9">
        <f t="shared" si="1"/>
        <v>3</v>
      </c>
      <c r="B4" s="9">
        <v>228826.0</v>
      </c>
      <c r="C4" s="9">
        <f>E1/12</f>
        <v>185079.75</v>
      </c>
      <c r="D4" s="8"/>
      <c r="E4" s="8"/>
    </row>
    <row r="5">
      <c r="A5" s="9">
        <f t="shared" si="1"/>
        <v>4</v>
      </c>
      <c r="B5" s="9">
        <v>207713.0</v>
      </c>
      <c r="C5" s="9">
        <f>E1/12</f>
        <v>185079.75</v>
      </c>
      <c r="D5" s="8"/>
      <c r="E5" s="8"/>
    </row>
    <row r="6">
      <c r="A6" s="9">
        <f t="shared" si="1"/>
        <v>5</v>
      </c>
      <c r="B6" s="9">
        <v>206652.0</v>
      </c>
      <c r="C6" s="9">
        <f>E1/12</f>
        <v>185079.75</v>
      </c>
      <c r="D6" s="8"/>
      <c r="E6" s="8"/>
    </row>
    <row r="7">
      <c r="A7" s="9">
        <f t="shared" si="1"/>
        <v>6</v>
      </c>
      <c r="B7" s="9">
        <v>217567.0</v>
      </c>
      <c r="C7" s="9">
        <f>E1/12</f>
        <v>185079.75</v>
      </c>
      <c r="D7" s="8"/>
      <c r="E7" s="8"/>
    </row>
    <row r="8">
      <c r="A8" s="9">
        <f t="shared" si="1"/>
        <v>7</v>
      </c>
      <c r="B8" s="9">
        <v>206986.0</v>
      </c>
      <c r="C8" s="9">
        <f>E1/12</f>
        <v>185079.75</v>
      </c>
      <c r="D8" s="8"/>
      <c r="E8" s="8"/>
    </row>
    <row r="9">
      <c r="A9" s="9">
        <f t="shared" si="1"/>
        <v>8</v>
      </c>
      <c r="B9" s="9">
        <v>226517.0</v>
      </c>
      <c r="C9" s="9">
        <f>E1/12</f>
        <v>185079.75</v>
      </c>
      <c r="D9" s="8"/>
      <c r="E9" s="8"/>
    </row>
    <row r="10">
      <c r="A10" s="9">
        <f t="shared" si="1"/>
        <v>9</v>
      </c>
      <c r="B10" s="9">
        <v>185086.0</v>
      </c>
      <c r="C10" s="9">
        <f>E1/12</f>
        <v>185079.75</v>
      </c>
      <c r="D10" s="8"/>
      <c r="E10" s="8"/>
    </row>
    <row r="11">
      <c r="A11" s="9">
        <f t="shared" si="1"/>
        <v>10</v>
      </c>
      <c r="B11" s="9">
        <v>212234.0</v>
      </c>
      <c r="C11" s="9">
        <f>E1/12</f>
        <v>185079.75</v>
      </c>
      <c r="D11" s="8"/>
      <c r="E11" s="8"/>
    </row>
    <row r="12">
      <c r="A12" s="9">
        <f t="shared" si="1"/>
        <v>11</v>
      </c>
      <c r="B12" s="9">
        <v>207716.0</v>
      </c>
      <c r="C12" s="9">
        <f>E1/12</f>
        <v>185079.75</v>
      </c>
      <c r="D12" s="8"/>
      <c r="E12" s="8"/>
    </row>
    <row r="13">
      <c r="A13" s="9">
        <f t="shared" si="1"/>
        <v>12</v>
      </c>
      <c r="B13" s="9">
        <v>198573.0</v>
      </c>
      <c r="C13" s="9">
        <f>E1/12</f>
        <v>185079.75</v>
      </c>
      <c r="D13" s="8"/>
      <c r="E13" s="8"/>
    </row>
    <row r="14">
      <c r="A14" s="8"/>
      <c r="B14" s="8"/>
      <c r="C14" s="8"/>
      <c r="D14" s="8"/>
      <c r="E14" s="8"/>
    </row>
    <row r="15">
      <c r="A15" s="8"/>
      <c r="B15" s="8"/>
      <c r="C15" s="8"/>
      <c r="D15" s="8"/>
      <c r="E15" s="8"/>
    </row>
    <row r="16">
      <c r="A16" s="8"/>
      <c r="B16" s="8"/>
      <c r="C16" s="8"/>
      <c r="D16" s="8"/>
      <c r="E16" s="8"/>
    </row>
    <row r="17">
      <c r="A17" s="8"/>
      <c r="B17" s="8"/>
      <c r="C17" s="8"/>
      <c r="D17" s="8"/>
      <c r="E17" s="8"/>
    </row>
    <row r="18">
      <c r="A18" s="8"/>
      <c r="B18" s="8" t="s">
        <v>37</v>
      </c>
      <c r="C18" s="8"/>
      <c r="D18" s="8"/>
      <c r="E18" s="8"/>
    </row>
    <row r="19">
      <c r="A19" s="8"/>
      <c r="B19" s="11" t="s">
        <v>38</v>
      </c>
      <c r="C19" s="12"/>
      <c r="D19" s="8"/>
      <c r="E19" s="8"/>
    </row>
  </sheetData>
  <hyperlinks>
    <hyperlink r:id="rId1" ref="B19"/>
  </hyperlin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65.14"/>
    <col customWidth="1" min="3" max="3" width="19.86"/>
  </cols>
  <sheetData>
    <row r="1">
      <c r="A1" s="8" t="s">
        <v>26</v>
      </c>
      <c r="B1" s="8" t="s">
        <v>27</v>
      </c>
      <c r="C1" s="8" t="s">
        <v>28</v>
      </c>
      <c r="D1" s="8" t="s">
        <v>29</v>
      </c>
      <c r="E1" s="9">
        <v>2238874.0</v>
      </c>
    </row>
    <row r="2">
      <c r="A2" s="9">
        <v>1.0</v>
      </c>
      <c r="B2" s="9">
        <v>222690.0</v>
      </c>
      <c r="C2" s="9">
        <f>E1/12</f>
        <v>186572.8333</v>
      </c>
      <c r="D2" s="8" t="s">
        <v>30</v>
      </c>
      <c r="E2" s="9">
        <f>SUM(B2:B13)</f>
        <v>2556109</v>
      </c>
    </row>
    <row r="3">
      <c r="A3" s="9">
        <f t="shared" ref="A3:A13" si="1">A2+1</f>
        <v>2</v>
      </c>
      <c r="B3" s="9">
        <v>206220.0</v>
      </c>
      <c r="C3" s="9">
        <f>E1/12</f>
        <v>186572.8333</v>
      </c>
      <c r="D3" s="8"/>
      <c r="E3" s="8"/>
    </row>
    <row r="4">
      <c r="A4" s="9">
        <f t="shared" si="1"/>
        <v>3</v>
      </c>
      <c r="B4" s="9">
        <v>219390.0</v>
      </c>
      <c r="C4" s="9">
        <f>E1/12</f>
        <v>186572.8333</v>
      </c>
      <c r="D4" s="8"/>
      <c r="E4" s="8"/>
    </row>
    <row r="5">
      <c r="A5" s="9">
        <f t="shared" si="1"/>
        <v>4</v>
      </c>
      <c r="B5" s="9">
        <v>199438.0</v>
      </c>
      <c r="C5" s="9">
        <f>E1/12</f>
        <v>186572.8333</v>
      </c>
      <c r="D5" s="8"/>
      <c r="E5" s="8"/>
    </row>
    <row r="6">
      <c r="A6" s="9">
        <f t="shared" si="1"/>
        <v>5</v>
      </c>
      <c r="B6" s="9">
        <v>213153.0</v>
      </c>
      <c r="C6" s="9">
        <f>E1/12</f>
        <v>186572.8333</v>
      </c>
      <c r="D6" s="8"/>
      <c r="E6" s="8"/>
    </row>
    <row r="7">
      <c r="A7" s="9">
        <f t="shared" si="1"/>
        <v>6</v>
      </c>
      <c r="B7" s="9">
        <v>219791.0</v>
      </c>
      <c r="C7" s="9">
        <f>E1/12</f>
        <v>186572.8333</v>
      </c>
      <c r="D7" s="8"/>
      <c r="E7" s="8"/>
    </row>
    <row r="8">
      <c r="A8" s="9">
        <f t="shared" si="1"/>
        <v>7</v>
      </c>
      <c r="B8" s="9">
        <v>216659.0</v>
      </c>
      <c r="C8" s="9">
        <f>E1/12</f>
        <v>186572.8333</v>
      </c>
      <c r="D8" s="8"/>
      <c r="E8" s="8"/>
    </row>
    <row r="9">
      <c r="A9" s="9">
        <f t="shared" si="1"/>
        <v>8</v>
      </c>
      <c r="B9" s="9">
        <v>208701.0</v>
      </c>
      <c r="C9" s="9">
        <f>E1/12</f>
        <v>186572.8333</v>
      </c>
      <c r="D9" s="8"/>
      <c r="E9" s="8"/>
    </row>
    <row r="10">
      <c r="A10" s="9">
        <f t="shared" si="1"/>
        <v>9</v>
      </c>
      <c r="B10" s="9">
        <v>202947.0</v>
      </c>
      <c r="C10" s="9">
        <f>E1/12</f>
        <v>186572.8333</v>
      </c>
      <c r="D10" s="8"/>
      <c r="E10" s="8"/>
    </row>
    <row r="11">
      <c r="A11" s="9">
        <f t="shared" si="1"/>
        <v>10</v>
      </c>
      <c r="B11" s="9">
        <v>222463.0</v>
      </c>
      <c r="C11" s="9">
        <f>E1/12</f>
        <v>186572.8333</v>
      </c>
      <c r="D11" s="8"/>
      <c r="E11" s="8"/>
    </row>
    <row r="12">
      <c r="A12" s="9">
        <f t="shared" si="1"/>
        <v>11</v>
      </c>
      <c r="B12" s="9">
        <v>214742.0</v>
      </c>
      <c r="C12" s="9">
        <f>E1/12</f>
        <v>186572.8333</v>
      </c>
      <c r="D12" s="8"/>
      <c r="E12" s="8"/>
    </row>
    <row r="13">
      <c r="A13" s="9">
        <f t="shared" si="1"/>
        <v>12</v>
      </c>
      <c r="B13" s="9">
        <v>209915.0</v>
      </c>
      <c r="C13" s="9">
        <f>E1/12</f>
        <v>186572.8333</v>
      </c>
      <c r="D13" s="8"/>
      <c r="E13" s="8"/>
    </row>
    <row r="14">
      <c r="A14" s="8"/>
      <c r="B14" s="8"/>
      <c r="C14" s="8"/>
      <c r="D14" s="8"/>
      <c r="E14" s="8"/>
    </row>
    <row r="15">
      <c r="A15" s="8"/>
      <c r="B15" s="8"/>
      <c r="C15" s="8"/>
      <c r="D15" s="8"/>
      <c r="E15" s="8"/>
    </row>
    <row r="16">
      <c r="A16" s="8"/>
      <c r="B16" s="8"/>
      <c r="C16" s="8"/>
      <c r="D16" s="8"/>
      <c r="E16" s="8"/>
    </row>
    <row r="17">
      <c r="A17" s="8"/>
      <c r="B17" s="8"/>
      <c r="C17" s="8"/>
      <c r="D17" s="8"/>
      <c r="E17" s="8"/>
    </row>
    <row r="18">
      <c r="A18" s="8"/>
      <c r="B18" s="8" t="s">
        <v>39</v>
      </c>
      <c r="C18" s="8"/>
      <c r="D18" s="8"/>
      <c r="E18" s="8"/>
    </row>
    <row r="19">
      <c r="A19" s="8"/>
      <c r="B19" s="11" t="s">
        <v>40</v>
      </c>
      <c r="C19" s="12"/>
      <c r="D19" s="8"/>
      <c r="E19" s="8"/>
    </row>
  </sheetData>
  <hyperlinks>
    <hyperlink r:id="rId1" ref="B19"/>
  </hyperlin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4.0"/>
    <col customWidth="1" min="6" max="6" width="19.71"/>
    <col customWidth="1" min="7" max="7" width="22.14"/>
    <col customWidth="1" min="10" max="10" width="25.29"/>
    <col customWidth="1" min="11" max="11" width="29.57"/>
    <col customWidth="1" min="12" max="12" width="18.57"/>
    <col customWidth="1" min="13" max="13" width="21.29"/>
    <col customWidth="1" min="14" max="14" width="30.57"/>
    <col customWidth="1" min="15" max="15" width="32.29"/>
    <col customWidth="1" min="16" max="16" width="31.29"/>
    <col customWidth="1" min="17" max="17" width="32.29"/>
    <col customWidth="1" min="19" max="19" width="31.0"/>
    <col customWidth="1" min="20" max="20" width="30.57"/>
    <col customWidth="1" min="21" max="21" width="33.71"/>
    <col customWidth="1" min="22" max="22" width="31.57"/>
    <col customWidth="1" min="23" max="23" width="52.71"/>
    <col customWidth="1" min="24" max="24" width="51.14"/>
    <col customWidth="1" min="25" max="25" width="51.71"/>
    <col customWidth="1" min="26" max="26" width="42.71"/>
  </cols>
  <sheetData>
    <row r="1">
      <c r="A1" s="13" t="s">
        <v>41</v>
      </c>
      <c r="B1" s="13" t="s">
        <v>42</v>
      </c>
      <c r="C1" s="13" t="s">
        <v>43</v>
      </c>
      <c r="D1" s="13" t="s">
        <v>44</v>
      </c>
      <c r="E1" s="8" t="s">
        <v>45</v>
      </c>
      <c r="F1" s="8" t="s">
        <v>46</v>
      </c>
      <c r="G1" s="14" t="s">
        <v>47</v>
      </c>
      <c r="H1" s="8"/>
      <c r="I1" s="8" t="s">
        <v>48</v>
      </c>
      <c r="J1" s="8" t="s">
        <v>49</v>
      </c>
      <c r="K1" s="10" t="s">
        <v>49</v>
      </c>
      <c r="L1" s="8" t="s">
        <v>50</v>
      </c>
      <c r="M1" s="15" t="s">
        <v>51</v>
      </c>
      <c r="N1" s="16" t="s">
        <v>52</v>
      </c>
      <c r="O1" s="16" t="s">
        <v>53</v>
      </c>
      <c r="P1" s="17" t="s">
        <v>54</v>
      </c>
      <c r="Q1" s="17" t="s">
        <v>55</v>
      </c>
      <c r="R1" s="18"/>
      <c r="S1" s="16" t="s">
        <v>56</v>
      </c>
      <c r="T1" s="16" t="s">
        <v>57</v>
      </c>
      <c r="U1" s="17" t="s">
        <v>58</v>
      </c>
      <c r="V1" s="17" t="s">
        <v>59</v>
      </c>
      <c r="W1" s="16" t="s">
        <v>60</v>
      </c>
      <c r="X1" s="16" t="s">
        <v>61</v>
      </c>
      <c r="Y1" s="17" t="s">
        <v>62</v>
      </c>
      <c r="Z1" s="17" t="s">
        <v>63</v>
      </c>
    </row>
    <row r="2">
      <c r="A2" s="13" t="s">
        <v>64</v>
      </c>
      <c r="B2" s="19">
        <v>40544.0</v>
      </c>
      <c r="C2" s="20">
        <v>1.0</v>
      </c>
      <c r="D2" s="21">
        <v>1.0</v>
      </c>
      <c r="E2" s="9">
        <f>A3/31</f>
        <v>7413.258065</v>
      </c>
      <c r="F2" s="9">
        <v>0.45161290322580644</v>
      </c>
      <c r="G2" s="22">
        <f t="shared" ref="G2:G16" si="1">G367</f>
        <v>7338.086368</v>
      </c>
      <c r="H2" s="23"/>
      <c r="I2" s="9">
        <f t="shared" ref="I2:I365" si="2">C2</f>
        <v>1</v>
      </c>
      <c r="J2" s="22">
        <f>SUM(G2:G8)</f>
        <v>51479.36212</v>
      </c>
      <c r="K2" s="22">
        <f t="shared" ref="K2:K359" si="3">J2</f>
        <v>51479.36212</v>
      </c>
      <c r="L2" s="9">
        <f>(RealMonthlyData_2011!E1/366)*7</f>
        <v>43643.27869</v>
      </c>
      <c r="M2" s="24">
        <v>43643.27869</v>
      </c>
      <c r="N2" s="25">
        <v>13119.56883</v>
      </c>
      <c r="O2" s="25">
        <v>12390.6721</v>
      </c>
      <c r="P2" s="25">
        <v>3097.013114</v>
      </c>
      <c r="Q2" s="25">
        <v>21960.88745</v>
      </c>
      <c r="R2" s="18"/>
      <c r="S2" s="25">
        <v>11850.389</v>
      </c>
      <c r="T2" s="25">
        <v>10180.81123</v>
      </c>
      <c r="U2" s="25">
        <v>2759.227076</v>
      </c>
      <c r="V2" s="25">
        <v>18553.71905</v>
      </c>
      <c r="W2" s="25">
        <v>1269.179835</v>
      </c>
      <c r="X2" s="25">
        <v>2209.860868</v>
      </c>
      <c r="Y2" s="25">
        <v>337.7860381</v>
      </c>
      <c r="Z2" s="25">
        <v>3407.168405</v>
      </c>
    </row>
    <row r="3">
      <c r="A3" s="20">
        <v>229811.0</v>
      </c>
      <c r="B3" s="19">
        <v>40545.0</v>
      </c>
      <c r="C3" s="20">
        <v>1.0</v>
      </c>
      <c r="D3" s="26">
        <v>2.0</v>
      </c>
      <c r="E3" s="9">
        <f t="shared" ref="E3:E32" si="4">E2</f>
        <v>7413.258065</v>
      </c>
      <c r="F3" s="9">
        <v>0.41935483870967744</v>
      </c>
      <c r="G3" s="22">
        <f t="shared" si="1"/>
        <v>7343.455775</v>
      </c>
      <c r="H3" s="8"/>
      <c r="I3" s="9">
        <f t="shared" si="2"/>
        <v>1</v>
      </c>
      <c r="J3" s="8"/>
      <c r="K3" s="9" t="str">
        <f t="shared" si="3"/>
        <v/>
      </c>
      <c r="L3" s="9">
        <f t="shared" ref="L3:L365" si="5">L2</f>
        <v>43643.27869</v>
      </c>
      <c r="M3" s="27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>
      <c r="A4" s="28"/>
      <c r="B4" s="19">
        <v>40546.0</v>
      </c>
      <c r="C4" s="20">
        <v>1.0</v>
      </c>
      <c r="D4" s="26">
        <v>3.0</v>
      </c>
      <c r="E4" s="9">
        <f t="shared" si="4"/>
        <v>7413.258065</v>
      </c>
      <c r="F4" s="9">
        <v>0.3870967741935484</v>
      </c>
      <c r="G4" s="22">
        <f t="shared" si="1"/>
        <v>7348.825182</v>
      </c>
      <c r="H4" s="8"/>
      <c r="I4" s="9">
        <f t="shared" si="2"/>
        <v>1</v>
      </c>
      <c r="J4" s="8"/>
      <c r="K4" s="9" t="str">
        <f t="shared" si="3"/>
        <v/>
      </c>
      <c r="L4" s="9">
        <f t="shared" si="5"/>
        <v>43643.27869</v>
      </c>
      <c r="M4" s="27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>
      <c r="A5" s="28"/>
      <c r="B5" s="19">
        <v>40547.0</v>
      </c>
      <c r="C5" s="20">
        <v>1.0</v>
      </c>
      <c r="D5" s="26">
        <v>4.0</v>
      </c>
      <c r="E5" s="9">
        <f t="shared" si="4"/>
        <v>7413.258065</v>
      </c>
      <c r="F5" s="9">
        <v>0.3548387096774194</v>
      </c>
      <c r="G5" s="22">
        <f t="shared" si="1"/>
        <v>7354.194589</v>
      </c>
      <c r="H5" s="8"/>
      <c r="I5" s="9">
        <f t="shared" si="2"/>
        <v>1</v>
      </c>
      <c r="J5" s="8"/>
      <c r="K5" s="9" t="str">
        <f t="shared" si="3"/>
        <v/>
      </c>
      <c r="L5" s="9">
        <f t="shared" si="5"/>
        <v>43643.27869</v>
      </c>
      <c r="M5" s="27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>
      <c r="A6" s="28"/>
      <c r="B6" s="19">
        <v>40548.0</v>
      </c>
      <c r="C6" s="20">
        <v>1.0</v>
      </c>
      <c r="D6" s="26">
        <v>5.0</v>
      </c>
      <c r="E6" s="9">
        <f t="shared" si="4"/>
        <v>7413.258065</v>
      </c>
      <c r="F6" s="9">
        <v>0.3225806451612903</v>
      </c>
      <c r="G6" s="22">
        <f t="shared" si="1"/>
        <v>7359.563996</v>
      </c>
      <c r="H6" s="8"/>
      <c r="I6" s="9">
        <f t="shared" si="2"/>
        <v>1</v>
      </c>
      <c r="J6" s="8"/>
      <c r="K6" s="9" t="str">
        <f t="shared" si="3"/>
        <v/>
      </c>
      <c r="L6" s="9">
        <f t="shared" si="5"/>
        <v>43643.27869</v>
      </c>
      <c r="M6" s="27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A7" s="28"/>
      <c r="B7" s="19">
        <v>40549.0</v>
      </c>
      <c r="C7" s="20">
        <v>1.0</v>
      </c>
      <c r="D7" s="26">
        <v>6.0</v>
      </c>
      <c r="E7" s="9">
        <f t="shared" si="4"/>
        <v>7413.258065</v>
      </c>
      <c r="F7" s="9">
        <v>0.2903225806451613</v>
      </c>
      <c r="G7" s="22">
        <f t="shared" si="1"/>
        <v>7364.933403</v>
      </c>
      <c r="H7" s="8"/>
      <c r="I7" s="9">
        <f t="shared" si="2"/>
        <v>1</v>
      </c>
      <c r="J7" s="8"/>
      <c r="K7" s="9" t="str">
        <f t="shared" si="3"/>
        <v/>
      </c>
      <c r="L7" s="9">
        <f t="shared" si="5"/>
        <v>43643.27869</v>
      </c>
      <c r="M7" s="2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>
      <c r="A8" s="28"/>
      <c r="B8" s="19">
        <v>40550.0</v>
      </c>
      <c r="C8" s="20">
        <v>1.0</v>
      </c>
      <c r="D8" s="26">
        <v>7.0</v>
      </c>
      <c r="E8" s="9">
        <f t="shared" si="4"/>
        <v>7413.258065</v>
      </c>
      <c r="F8" s="9">
        <v>0.25806451612903225</v>
      </c>
      <c r="G8" s="22">
        <f t="shared" si="1"/>
        <v>7370.30281</v>
      </c>
      <c r="H8" s="8"/>
      <c r="I8" s="9">
        <f t="shared" si="2"/>
        <v>1</v>
      </c>
      <c r="J8" s="8"/>
      <c r="K8" s="9" t="str">
        <f t="shared" si="3"/>
        <v/>
      </c>
      <c r="L8" s="9">
        <f t="shared" si="5"/>
        <v>43643.27869</v>
      </c>
      <c r="M8" s="2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>
      <c r="A9" s="28"/>
      <c r="B9" s="19">
        <v>40551.0</v>
      </c>
      <c r="C9" s="20">
        <v>2.0</v>
      </c>
      <c r="D9" s="26">
        <v>8.0</v>
      </c>
      <c r="E9" s="9">
        <f t="shared" si="4"/>
        <v>7413.258065</v>
      </c>
      <c r="F9" s="9">
        <v>0.22580645161290322</v>
      </c>
      <c r="G9" s="22">
        <f t="shared" si="1"/>
        <v>7375.672216</v>
      </c>
      <c r="H9" s="8"/>
      <c r="I9" s="9">
        <f t="shared" si="2"/>
        <v>2</v>
      </c>
      <c r="J9" s="22">
        <f>SUM(G9:G15)</f>
        <v>51742.46306</v>
      </c>
      <c r="K9" s="22">
        <f t="shared" si="3"/>
        <v>51742.46306</v>
      </c>
      <c r="L9" s="9">
        <f t="shared" si="5"/>
        <v>43643.27869</v>
      </c>
      <c r="M9" s="24">
        <v>43643.27869</v>
      </c>
      <c r="N9" s="25">
        <v>14081.6453</v>
      </c>
      <c r="O9" s="25">
        <v>12816.11313</v>
      </c>
      <c r="P9" s="25">
        <v>2988.66107</v>
      </c>
      <c r="Q9" s="25">
        <v>22213.12801</v>
      </c>
      <c r="R9" s="18"/>
      <c r="S9" s="25">
        <v>11951.81116</v>
      </c>
      <c r="T9" s="25">
        <v>10476.30381</v>
      </c>
      <c r="U9" s="25">
        <v>2739.296539</v>
      </c>
      <c r="V9" s="25">
        <v>18967.19261</v>
      </c>
      <c r="W9" s="25">
        <v>2129.834141</v>
      </c>
      <c r="X9" s="25">
        <v>2339.809327</v>
      </c>
      <c r="Y9" s="25">
        <v>249.3645311</v>
      </c>
      <c r="Z9" s="25">
        <v>3245.935395</v>
      </c>
    </row>
    <row r="10">
      <c r="A10" s="28"/>
      <c r="B10" s="19">
        <v>40552.0</v>
      </c>
      <c r="C10" s="20">
        <v>2.0</v>
      </c>
      <c r="D10" s="26">
        <v>9.0</v>
      </c>
      <c r="E10" s="9">
        <f t="shared" si="4"/>
        <v>7413.258065</v>
      </c>
      <c r="F10" s="9">
        <v>0.1935483870967742</v>
      </c>
      <c r="G10" s="22">
        <f t="shared" si="1"/>
        <v>7381.041623</v>
      </c>
      <c r="H10" s="8"/>
      <c r="I10" s="9">
        <f t="shared" si="2"/>
        <v>2</v>
      </c>
      <c r="J10" s="8"/>
      <c r="K10" s="9" t="str">
        <f t="shared" si="3"/>
        <v/>
      </c>
      <c r="L10" s="9">
        <f t="shared" si="5"/>
        <v>43643.27869</v>
      </c>
      <c r="M10" s="2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28"/>
      <c r="B11" s="19">
        <v>40553.0</v>
      </c>
      <c r="C11" s="20">
        <v>2.0</v>
      </c>
      <c r="D11" s="26">
        <v>10.0</v>
      </c>
      <c r="E11" s="9">
        <f t="shared" si="4"/>
        <v>7413.258065</v>
      </c>
      <c r="F11" s="9">
        <v>0.16129032258064516</v>
      </c>
      <c r="G11" s="22">
        <f t="shared" si="1"/>
        <v>7386.41103</v>
      </c>
      <c r="H11" s="8"/>
      <c r="I11" s="9">
        <f t="shared" si="2"/>
        <v>2</v>
      </c>
      <c r="J11" s="8"/>
      <c r="K11" s="9" t="str">
        <f t="shared" si="3"/>
        <v/>
      </c>
      <c r="L11" s="9">
        <f t="shared" si="5"/>
        <v>43643.27869</v>
      </c>
      <c r="M11" s="27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28"/>
      <c r="B12" s="19">
        <v>40554.0</v>
      </c>
      <c r="C12" s="20">
        <v>2.0</v>
      </c>
      <c r="D12" s="26">
        <v>11.0</v>
      </c>
      <c r="E12" s="9">
        <f t="shared" si="4"/>
        <v>7413.258065</v>
      </c>
      <c r="F12" s="9">
        <v>0.12903225806451613</v>
      </c>
      <c r="G12" s="22">
        <f t="shared" si="1"/>
        <v>7391.780437</v>
      </c>
      <c r="H12" s="8"/>
      <c r="I12" s="9">
        <f t="shared" si="2"/>
        <v>2</v>
      </c>
      <c r="J12" s="8"/>
      <c r="K12" s="9" t="str">
        <f t="shared" si="3"/>
        <v/>
      </c>
      <c r="L12" s="9">
        <f t="shared" si="5"/>
        <v>43643.27869</v>
      </c>
      <c r="M12" s="2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28"/>
      <c r="B13" s="19">
        <v>40555.0</v>
      </c>
      <c r="C13" s="20">
        <v>2.0</v>
      </c>
      <c r="D13" s="26">
        <v>12.0</v>
      </c>
      <c r="E13" s="9">
        <f t="shared" si="4"/>
        <v>7413.258065</v>
      </c>
      <c r="F13" s="9">
        <v>0.0967741935483871</v>
      </c>
      <c r="G13" s="22">
        <f t="shared" si="1"/>
        <v>7397.149844</v>
      </c>
      <c r="H13" s="8"/>
      <c r="I13" s="9">
        <f t="shared" si="2"/>
        <v>2</v>
      </c>
      <c r="J13" s="8"/>
      <c r="K13" s="9" t="str">
        <f t="shared" si="3"/>
        <v/>
      </c>
      <c r="L13" s="9">
        <f t="shared" si="5"/>
        <v>43643.27869</v>
      </c>
      <c r="M13" s="27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28"/>
      <c r="B14" s="19">
        <v>40556.0</v>
      </c>
      <c r="C14" s="20">
        <v>2.0</v>
      </c>
      <c r="D14" s="26">
        <v>13.0</v>
      </c>
      <c r="E14" s="9">
        <f t="shared" si="4"/>
        <v>7413.258065</v>
      </c>
      <c r="F14" s="9">
        <v>0.06451612903225806</v>
      </c>
      <c r="G14" s="22">
        <f t="shared" si="1"/>
        <v>7402.519251</v>
      </c>
      <c r="H14" s="8"/>
      <c r="I14" s="9">
        <f t="shared" si="2"/>
        <v>2</v>
      </c>
      <c r="J14" s="8"/>
      <c r="K14" s="9" t="str">
        <f t="shared" si="3"/>
        <v/>
      </c>
      <c r="L14" s="9">
        <f t="shared" si="5"/>
        <v>43643.27869</v>
      </c>
      <c r="M14" s="27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28"/>
      <c r="B15" s="19">
        <v>40557.0</v>
      </c>
      <c r="C15" s="20">
        <v>2.0</v>
      </c>
      <c r="D15" s="26">
        <v>14.0</v>
      </c>
      <c r="E15" s="9">
        <f t="shared" si="4"/>
        <v>7413.258065</v>
      </c>
      <c r="F15" s="9">
        <v>0.03225806451612903</v>
      </c>
      <c r="G15" s="22">
        <f t="shared" si="1"/>
        <v>7407.888658</v>
      </c>
      <c r="H15" s="8"/>
      <c r="I15" s="9">
        <f t="shared" si="2"/>
        <v>2</v>
      </c>
      <c r="J15" s="8"/>
      <c r="K15" s="9" t="str">
        <f t="shared" si="3"/>
        <v/>
      </c>
      <c r="L15" s="9">
        <f t="shared" si="5"/>
        <v>43643.27869</v>
      </c>
      <c r="M15" s="27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3"/>
      <c r="B16" s="19">
        <v>40558.0</v>
      </c>
      <c r="C16" s="20">
        <v>3.0</v>
      </c>
      <c r="D16" s="26">
        <v>15.0</v>
      </c>
      <c r="E16" s="9">
        <f t="shared" si="4"/>
        <v>7413.258065</v>
      </c>
      <c r="F16" s="9">
        <v>1.0</v>
      </c>
      <c r="G16" s="22">
        <f t="shared" si="1"/>
        <v>7413.258065</v>
      </c>
      <c r="H16" s="8"/>
      <c r="I16" s="9">
        <f t="shared" si="2"/>
        <v>3</v>
      </c>
      <c r="J16" s="22">
        <f>SUM(G16:G22)</f>
        <v>51870.83325</v>
      </c>
      <c r="K16" s="22">
        <f t="shared" si="3"/>
        <v>51870.83325</v>
      </c>
      <c r="L16" s="9">
        <f t="shared" si="5"/>
        <v>43643.27869</v>
      </c>
      <c r="M16" s="24">
        <v>43643.27869</v>
      </c>
      <c r="N16" s="25">
        <v>13836.35604</v>
      </c>
      <c r="O16" s="25">
        <v>12164.01679</v>
      </c>
      <c r="P16" s="25">
        <v>3261.067118</v>
      </c>
      <c r="Q16" s="25">
        <v>23213.93876</v>
      </c>
      <c r="R16" s="18"/>
      <c r="S16" s="25">
        <v>11507.68787</v>
      </c>
      <c r="T16" s="25">
        <v>10183.73623</v>
      </c>
      <c r="U16" s="25">
        <v>2558.750714</v>
      </c>
      <c r="V16" s="25">
        <v>19357.96292</v>
      </c>
      <c r="W16" s="25">
        <v>2328.668174</v>
      </c>
      <c r="X16" s="25">
        <v>1980.280558</v>
      </c>
      <c r="Y16" s="25">
        <v>702.3164042</v>
      </c>
      <c r="Z16" s="25">
        <v>3855.975839</v>
      </c>
    </row>
    <row r="17">
      <c r="A17" s="13"/>
      <c r="B17" s="19">
        <v>40559.0</v>
      </c>
      <c r="C17" s="20">
        <v>3.0</v>
      </c>
      <c r="D17" s="26">
        <v>16.0</v>
      </c>
      <c r="E17" s="9">
        <f t="shared" si="4"/>
        <v>7413.258065</v>
      </c>
      <c r="F17" s="9">
        <f t="shared" ref="F17:F46" si="6">abs((D17-46)/(46-15))</f>
        <v>0.9677419355</v>
      </c>
      <c r="G17" s="22">
        <f t="shared" ref="G17:G44" si="7">E2*F17+(1-F17)*E33</f>
        <v>7412.211721</v>
      </c>
      <c r="H17" s="8"/>
      <c r="I17" s="9">
        <f t="shared" si="2"/>
        <v>3</v>
      </c>
      <c r="J17" s="8"/>
      <c r="K17" s="9" t="str">
        <f t="shared" si="3"/>
        <v/>
      </c>
      <c r="L17" s="9">
        <f t="shared" si="5"/>
        <v>43643.27869</v>
      </c>
      <c r="M17" s="27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28"/>
      <c r="B18" s="19">
        <v>40560.0</v>
      </c>
      <c r="C18" s="20">
        <v>3.0</v>
      </c>
      <c r="D18" s="26">
        <v>17.0</v>
      </c>
      <c r="E18" s="9">
        <f t="shared" si="4"/>
        <v>7413.258065</v>
      </c>
      <c r="F18" s="9">
        <f t="shared" si="6"/>
        <v>0.935483871</v>
      </c>
      <c r="G18" s="22">
        <f t="shared" si="7"/>
        <v>7411.165378</v>
      </c>
      <c r="H18" s="8"/>
      <c r="I18" s="9">
        <f t="shared" si="2"/>
        <v>3</v>
      </c>
      <c r="J18" s="8"/>
      <c r="K18" s="9" t="str">
        <f t="shared" si="3"/>
        <v/>
      </c>
      <c r="L18" s="9">
        <f t="shared" si="5"/>
        <v>43643.27869</v>
      </c>
      <c r="M18" s="27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28"/>
      <c r="B19" s="19">
        <v>40561.0</v>
      </c>
      <c r="C19" s="20">
        <v>3.0</v>
      </c>
      <c r="D19" s="26">
        <v>18.0</v>
      </c>
      <c r="E19" s="9">
        <f t="shared" si="4"/>
        <v>7413.258065</v>
      </c>
      <c r="F19" s="9">
        <f t="shared" si="6"/>
        <v>0.9032258065</v>
      </c>
      <c r="G19" s="22">
        <f t="shared" si="7"/>
        <v>7410.119035</v>
      </c>
      <c r="H19" s="8"/>
      <c r="I19" s="9">
        <f t="shared" si="2"/>
        <v>3</v>
      </c>
      <c r="J19" s="8"/>
      <c r="K19" s="9" t="str">
        <f t="shared" si="3"/>
        <v/>
      </c>
      <c r="L19" s="9">
        <f t="shared" si="5"/>
        <v>43643.27869</v>
      </c>
      <c r="M19" s="27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28"/>
      <c r="B20" s="19">
        <v>40562.0</v>
      </c>
      <c r="C20" s="20">
        <v>3.0</v>
      </c>
      <c r="D20" s="26">
        <v>19.0</v>
      </c>
      <c r="E20" s="9">
        <f t="shared" si="4"/>
        <v>7413.258065</v>
      </c>
      <c r="F20" s="9">
        <f t="shared" si="6"/>
        <v>0.8709677419</v>
      </c>
      <c r="G20" s="22">
        <f t="shared" si="7"/>
        <v>7409.072692</v>
      </c>
      <c r="H20" s="8"/>
      <c r="I20" s="9">
        <f t="shared" si="2"/>
        <v>3</v>
      </c>
      <c r="J20" s="8"/>
      <c r="K20" s="9" t="str">
        <f t="shared" si="3"/>
        <v/>
      </c>
      <c r="L20" s="9">
        <f t="shared" si="5"/>
        <v>43643.27869</v>
      </c>
      <c r="M20" s="27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>
      <c r="A21" s="28"/>
      <c r="B21" s="19">
        <v>40563.0</v>
      </c>
      <c r="C21" s="20">
        <v>3.0</v>
      </c>
      <c r="D21" s="26">
        <v>20.0</v>
      </c>
      <c r="E21" s="9">
        <f t="shared" si="4"/>
        <v>7413.258065</v>
      </c>
      <c r="F21" s="9">
        <f t="shared" si="6"/>
        <v>0.8387096774</v>
      </c>
      <c r="G21" s="22">
        <f t="shared" si="7"/>
        <v>7408.026349</v>
      </c>
      <c r="H21" s="8"/>
      <c r="I21" s="9">
        <f t="shared" si="2"/>
        <v>3</v>
      </c>
      <c r="J21" s="8"/>
      <c r="K21" s="9" t="str">
        <f t="shared" si="3"/>
        <v/>
      </c>
      <c r="L21" s="9">
        <f t="shared" si="5"/>
        <v>43643.27869</v>
      </c>
      <c r="M21" s="27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>
      <c r="A22" s="28"/>
      <c r="B22" s="19">
        <v>40564.0</v>
      </c>
      <c r="C22" s="20">
        <v>3.0</v>
      </c>
      <c r="D22" s="26">
        <v>21.0</v>
      </c>
      <c r="E22" s="9">
        <f t="shared" si="4"/>
        <v>7413.258065</v>
      </c>
      <c r="F22" s="9">
        <f t="shared" si="6"/>
        <v>0.8064516129</v>
      </c>
      <c r="G22" s="22">
        <f t="shared" si="7"/>
        <v>7406.980006</v>
      </c>
      <c r="H22" s="8"/>
      <c r="I22" s="9">
        <f t="shared" si="2"/>
        <v>3</v>
      </c>
      <c r="J22" s="8"/>
      <c r="K22" s="9" t="str">
        <f t="shared" si="3"/>
        <v/>
      </c>
      <c r="L22" s="9">
        <f t="shared" si="5"/>
        <v>43643.27869</v>
      </c>
      <c r="M22" s="27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>
      <c r="A23" s="28"/>
      <c r="B23" s="19">
        <v>40565.0</v>
      </c>
      <c r="C23" s="20">
        <v>4.0</v>
      </c>
      <c r="D23" s="26">
        <v>22.0</v>
      </c>
      <c r="E23" s="9">
        <f t="shared" si="4"/>
        <v>7413.258065</v>
      </c>
      <c r="F23" s="9">
        <f t="shared" si="6"/>
        <v>0.7741935484</v>
      </c>
      <c r="G23" s="22">
        <f t="shared" si="7"/>
        <v>7405.933663</v>
      </c>
      <c r="H23" s="8"/>
      <c r="I23" s="9">
        <f t="shared" si="2"/>
        <v>4</v>
      </c>
      <c r="J23" s="22">
        <f>SUM(G23:G29)</f>
        <v>51819.56243</v>
      </c>
      <c r="K23" s="22">
        <f t="shared" si="3"/>
        <v>51819.56243</v>
      </c>
      <c r="L23" s="9">
        <f t="shared" si="5"/>
        <v>43643.27869</v>
      </c>
      <c r="M23" s="24">
        <v>43643.27869</v>
      </c>
      <c r="N23" s="25">
        <v>13433.30012</v>
      </c>
      <c r="O23" s="25">
        <v>12487.4427</v>
      </c>
      <c r="P23" s="25">
        <v>3020.60929</v>
      </c>
      <c r="Q23" s="25">
        <v>22811.14767</v>
      </c>
      <c r="R23" s="18"/>
      <c r="S23" s="25">
        <v>11322.42016</v>
      </c>
      <c r="T23" s="25">
        <v>10478.9448</v>
      </c>
      <c r="U23" s="25">
        <v>2548.052786</v>
      </c>
      <c r="V23" s="25">
        <v>19697.03014</v>
      </c>
      <c r="W23" s="25">
        <v>2110.879956</v>
      </c>
      <c r="X23" s="25">
        <v>2008.497897</v>
      </c>
      <c r="Y23" s="25">
        <v>472.5565037</v>
      </c>
      <c r="Z23" s="25">
        <v>3114.117522</v>
      </c>
    </row>
    <row r="24">
      <c r="A24" s="28"/>
      <c r="B24" s="19">
        <v>40566.0</v>
      </c>
      <c r="C24" s="20">
        <v>4.0</v>
      </c>
      <c r="D24" s="26">
        <v>23.0</v>
      </c>
      <c r="E24" s="9">
        <f t="shared" si="4"/>
        <v>7413.258065</v>
      </c>
      <c r="F24" s="9">
        <f t="shared" si="6"/>
        <v>0.7419354839</v>
      </c>
      <c r="G24" s="22">
        <f t="shared" si="7"/>
        <v>7404.88732</v>
      </c>
      <c r="H24" s="8"/>
      <c r="I24" s="9">
        <f t="shared" si="2"/>
        <v>4</v>
      </c>
      <c r="J24" s="8"/>
      <c r="K24" s="9" t="str">
        <f t="shared" si="3"/>
        <v/>
      </c>
      <c r="L24" s="9">
        <f t="shared" si="5"/>
        <v>43643.27869</v>
      </c>
      <c r="M24" s="27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>
      <c r="A25" s="28"/>
      <c r="B25" s="19">
        <v>40567.0</v>
      </c>
      <c r="C25" s="20">
        <v>4.0</v>
      </c>
      <c r="D25" s="26">
        <v>24.0</v>
      </c>
      <c r="E25" s="9">
        <f t="shared" si="4"/>
        <v>7413.258065</v>
      </c>
      <c r="F25" s="9">
        <f t="shared" si="6"/>
        <v>0.7096774194</v>
      </c>
      <c r="G25" s="22">
        <f t="shared" si="7"/>
        <v>7403.840977</v>
      </c>
      <c r="H25" s="8"/>
      <c r="I25" s="9">
        <f t="shared" si="2"/>
        <v>4</v>
      </c>
      <c r="J25" s="8"/>
      <c r="K25" s="9" t="str">
        <f t="shared" si="3"/>
        <v/>
      </c>
      <c r="L25" s="9">
        <f t="shared" si="5"/>
        <v>43643.27869</v>
      </c>
      <c r="M25" s="27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>
      <c r="A26" s="28"/>
      <c r="B26" s="19">
        <v>40568.0</v>
      </c>
      <c r="C26" s="20">
        <v>4.0</v>
      </c>
      <c r="D26" s="26">
        <v>25.0</v>
      </c>
      <c r="E26" s="9">
        <f t="shared" si="4"/>
        <v>7413.258065</v>
      </c>
      <c r="F26" s="9">
        <f t="shared" si="6"/>
        <v>0.6774193548</v>
      </c>
      <c r="G26" s="22">
        <f t="shared" si="7"/>
        <v>7402.794634</v>
      </c>
      <c r="H26" s="8"/>
      <c r="I26" s="9">
        <f t="shared" si="2"/>
        <v>4</v>
      </c>
      <c r="J26" s="8"/>
      <c r="K26" s="9" t="str">
        <f t="shared" si="3"/>
        <v/>
      </c>
      <c r="L26" s="9">
        <f t="shared" si="5"/>
        <v>43643.27869</v>
      </c>
      <c r="M26" s="27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28"/>
      <c r="B27" s="19">
        <v>40569.0</v>
      </c>
      <c r="C27" s="20">
        <v>4.0</v>
      </c>
      <c r="D27" s="26">
        <v>26.0</v>
      </c>
      <c r="E27" s="9">
        <f t="shared" si="4"/>
        <v>7413.258065</v>
      </c>
      <c r="F27" s="9">
        <f t="shared" si="6"/>
        <v>0.6451612903</v>
      </c>
      <c r="G27" s="22">
        <f t="shared" si="7"/>
        <v>7401.74829</v>
      </c>
      <c r="H27" s="8"/>
      <c r="I27" s="9">
        <f t="shared" si="2"/>
        <v>4</v>
      </c>
      <c r="J27" s="8"/>
      <c r="K27" s="9" t="str">
        <f t="shared" si="3"/>
        <v/>
      </c>
      <c r="L27" s="9">
        <f t="shared" si="5"/>
        <v>43643.27869</v>
      </c>
      <c r="M27" s="27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28"/>
      <c r="B28" s="19">
        <v>40570.0</v>
      </c>
      <c r="C28" s="20">
        <v>4.0</v>
      </c>
      <c r="D28" s="26">
        <v>27.0</v>
      </c>
      <c r="E28" s="9">
        <f t="shared" si="4"/>
        <v>7413.258065</v>
      </c>
      <c r="F28" s="9">
        <f t="shared" si="6"/>
        <v>0.6129032258</v>
      </c>
      <c r="G28" s="22">
        <f t="shared" si="7"/>
        <v>7400.701947</v>
      </c>
      <c r="H28" s="8"/>
      <c r="I28" s="9">
        <f t="shared" si="2"/>
        <v>4</v>
      </c>
      <c r="J28" s="8"/>
      <c r="K28" s="9" t="str">
        <f t="shared" si="3"/>
        <v/>
      </c>
      <c r="L28" s="9">
        <f t="shared" si="5"/>
        <v>43643.27869</v>
      </c>
      <c r="M28" s="27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28"/>
      <c r="B29" s="19">
        <v>40571.0</v>
      </c>
      <c r="C29" s="20">
        <v>4.0</v>
      </c>
      <c r="D29" s="26">
        <v>28.0</v>
      </c>
      <c r="E29" s="9">
        <f t="shared" si="4"/>
        <v>7413.258065</v>
      </c>
      <c r="F29" s="9">
        <f t="shared" si="6"/>
        <v>0.5806451613</v>
      </c>
      <c r="G29" s="22">
        <f t="shared" si="7"/>
        <v>7399.655604</v>
      </c>
      <c r="H29" s="8"/>
      <c r="I29" s="9">
        <f t="shared" si="2"/>
        <v>4</v>
      </c>
      <c r="J29" s="8"/>
      <c r="K29" s="9" t="str">
        <f t="shared" si="3"/>
        <v/>
      </c>
      <c r="L29" s="9">
        <f t="shared" si="5"/>
        <v>43643.27869</v>
      </c>
      <c r="M29" s="27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28"/>
      <c r="B30" s="19">
        <v>40572.0</v>
      </c>
      <c r="C30" s="20">
        <v>5.0</v>
      </c>
      <c r="D30" s="26">
        <v>29.0</v>
      </c>
      <c r="E30" s="9">
        <f t="shared" si="4"/>
        <v>7413.258065</v>
      </c>
      <c r="F30" s="9">
        <f t="shared" si="6"/>
        <v>0.5483870968</v>
      </c>
      <c r="G30" s="22">
        <f t="shared" si="7"/>
        <v>7398.609261</v>
      </c>
      <c r="H30" s="8"/>
      <c r="I30" s="9">
        <f t="shared" si="2"/>
        <v>5</v>
      </c>
      <c r="J30" s="22">
        <f>SUM(G30:G36)</f>
        <v>51768.29162</v>
      </c>
      <c r="K30" s="22">
        <f t="shared" si="3"/>
        <v>51768.29162</v>
      </c>
      <c r="L30" s="9">
        <f t="shared" si="5"/>
        <v>43643.27869</v>
      </c>
      <c r="M30" s="24">
        <v>43643.27869</v>
      </c>
      <c r="N30" s="25">
        <v>14243.63128</v>
      </c>
      <c r="O30" s="25">
        <v>12171.83573</v>
      </c>
      <c r="P30" s="25">
        <v>3237.804158</v>
      </c>
      <c r="Q30" s="25">
        <v>23119.68084</v>
      </c>
      <c r="R30" s="18"/>
      <c r="S30" s="25">
        <v>11193.34688</v>
      </c>
      <c r="T30" s="25">
        <v>10657.16337</v>
      </c>
      <c r="U30" s="25">
        <v>2629.88366</v>
      </c>
      <c r="V30" s="25">
        <v>19050.46275</v>
      </c>
      <c r="W30" s="25">
        <v>3050.284399</v>
      </c>
      <c r="X30" s="25">
        <v>1514.672358</v>
      </c>
      <c r="Y30" s="25">
        <v>607.9204981</v>
      </c>
      <c r="Z30" s="25">
        <v>4069.218089</v>
      </c>
    </row>
    <row r="31">
      <c r="A31" s="28"/>
      <c r="B31" s="19">
        <v>40573.0</v>
      </c>
      <c r="C31" s="20">
        <v>5.0</v>
      </c>
      <c r="D31" s="26">
        <v>30.0</v>
      </c>
      <c r="E31" s="9">
        <f t="shared" si="4"/>
        <v>7413.258065</v>
      </c>
      <c r="F31" s="9">
        <f t="shared" si="6"/>
        <v>0.5161290323</v>
      </c>
      <c r="G31" s="22">
        <f t="shared" si="7"/>
        <v>7397.562918</v>
      </c>
      <c r="H31" s="8"/>
      <c r="I31" s="9">
        <f t="shared" si="2"/>
        <v>5</v>
      </c>
      <c r="J31" s="8"/>
      <c r="K31" s="9" t="str">
        <f t="shared" si="3"/>
        <v/>
      </c>
      <c r="L31" s="9">
        <f t="shared" si="5"/>
        <v>43643.27869</v>
      </c>
      <c r="M31" s="27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28"/>
      <c r="B32" s="19">
        <v>40574.0</v>
      </c>
      <c r="C32" s="20">
        <v>5.0</v>
      </c>
      <c r="D32" s="26">
        <v>31.0</v>
      </c>
      <c r="E32" s="9">
        <f t="shared" si="4"/>
        <v>7413.258065</v>
      </c>
      <c r="F32" s="9">
        <f t="shared" si="6"/>
        <v>0.4838709677</v>
      </c>
      <c r="G32" s="22">
        <f t="shared" si="7"/>
        <v>7396.516575</v>
      </c>
      <c r="H32" s="8"/>
      <c r="I32" s="9">
        <f t="shared" si="2"/>
        <v>5</v>
      </c>
      <c r="J32" s="8"/>
      <c r="K32" s="9" t="str">
        <f t="shared" si="3"/>
        <v/>
      </c>
      <c r="L32" s="9">
        <f t="shared" si="5"/>
        <v>43643.27869</v>
      </c>
      <c r="M32" s="27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3" t="s">
        <v>65</v>
      </c>
      <c r="B33" s="19">
        <v>40575.0</v>
      </c>
      <c r="C33" s="20">
        <v>5.0</v>
      </c>
      <c r="D33" s="21">
        <v>32.0</v>
      </c>
      <c r="E33" s="9">
        <f>A34/28</f>
        <v>7380.821429</v>
      </c>
      <c r="F33" s="9">
        <f t="shared" si="6"/>
        <v>0.4516129032</v>
      </c>
      <c r="G33" s="22">
        <f t="shared" si="7"/>
        <v>7395.470232</v>
      </c>
      <c r="H33" s="8"/>
      <c r="I33" s="9">
        <f t="shared" si="2"/>
        <v>5</v>
      </c>
      <c r="J33" s="8"/>
      <c r="K33" s="9" t="str">
        <f t="shared" si="3"/>
        <v/>
      </c>
      <c r="L33" s="9">
        <f t="shared" si="5"/>
        <v>43643.27869</v>
      </c>
      <c r="M33" s="27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20">
        <v>206663.0</v>
      </c>
      <c r="B34" s="19">
        <v>40576.0</v>
      </c>
      <c r="C34" s="20">
        <v>5.0</v>
      </c>
      <c r="D34" s="26">
        <v>33.0</v>
      </c>
      <c r="E34" s="9">
        <f t="shared" ref="E34:E60" si="8">E33</f>
        <v>7380.821429</v>
      </c>
      <c r="F34" s="9">
        <f t="shared" si="6"/>
        <v>0.4193548387</v>
      </c>
      <c r="G34" s="22">
        <f t="shared" si="7"/>
        <v>7394.423889</v>
      </c>
      <c r="H34" s="8"/>
      <c r="I34" s="9">
        <f t="shared" si="2"/>
        <v>5</v>
      </c>
      <c r="J34" s="8"/>
      <c r="K34" s="9" t="str">
        <f t="shared" si="3"/>
        <v/>
      </c>
      <c r="L34" s="9">
        <f t="shared" si="5"/>
        <v>43643.27869</v>
      </c>
      <c r="M34" s="27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28"/>
      <c r="B35" s="19">
        <v>40577.0</v>
      </c>
      <c r="C35" s="20">
        <v>5.0</v>
      </c>
      <c r="D35" s="26">
        <v>34.0</v>
      </c>
      <c r="E35" s="9">
        <f t="shared" si="8"/>
        <v>7380.821429</v>
      </c>
      <c r="F35" s="9">
        <f t="shared" si="6"/>
        <v>0.3870967742</v>
      </c>
      <c r="G35" s="22">
        <f t="shared" si="7"/>
        <v>7393.377546</v>
      </c>
      <c r="H35" s="8"/>
      <c r="I35" s="9">
        <f t="shared" si="2"/>
        <v>5</v>
      </c>
      <c r="J35" s="8"/>
      <c r="K35" s="9" t="str">
        <f t="shared" si="3"/>
        <v/>
      </c>
      <c r="L35" s="9">
        <f t="shared" si="5"/>
        <v>43643.27869</v>
      </c>
      <c r="M35" s="27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28"/>
      <c r="B36" s="19">
        <v>40578.0</v>
      </c>
      <c r="C36" s="20">
        <v>5.0</v>
      </c>
      <c r="D36" s="26">
        <v>35.0</v>
      </c>
      <c r="E36" s="9">
        <f t="shared" si="8"/>
        <v>7380.821429</v>
      </c>
      <c r="F36" s="9">
        <f t="shared" si="6"/>
        <v>0.3548387097</v>
      </c>
      <c r="G36" s="22">
        <f t="shared" si="7"/>
        <v>7392.331203</v>
      </c>
      <c r="H36" s="8"/>
      <c r="I36" s="9">
        <f t="shared" si="2"/>
        <v>5</v>
      </c>
      <c r="J36" s="8"/>
      <c r="K36" s="9" t="str">
        <f t="shared" si="3"/>
        <v/>
      </c>
      <c r="L36" s="9">
        <f t="shared" si="5"/>
        <v>43643.27869</v>
      </c>
      <c r="M36" s="27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28"/>
      <c r="B37" s="19">
        <v>40579.0</v>
      </c>
      <c r="C37" s="20">
        <v>6.0</v>
      </c>
      <c r="D37" s="26">
        <v>36.0</v>
      </c>
      <c r="E37" s="9">
        <f t="shared" si="8"/>
        <v>7380.821429</v>
      </c>
      <c r="F37" s="9">
        <f t="shared" si="6"/>
        <v>0.3225806452</v>
      </c>
      <c r="G37" s="22">
        <f t="shared" si="7"/>
        <v>7391.28486</v>
      </c>
      <c r="H37" s="8"/>
      <c r="I37" s="9">
        <f t="shared" si="2"/>
        <v>6</v>
      </c>
      <c r="J37" s="22">
        <f>SUM(G37:G43)</f>
        <v>51717.02081</v>
      </c>
      <c r="K37" s="22">
        <f t="shared" si="3"/>
        <v>51717.02081</v>
      </c>
      <c r="L37" s="9">
        <f t="shared" si="5"/>
        <v>43643.27869</v>
      </c>
      <c r="M37" s="24">
        <v>43643.27869</v>
      </c>
      <c r="N37" s="25">
        <v>13608.72711</v>
      </c>
      <c r="O37" s="25">
        <v>12479.22972</v>
      </c>
      <c r="P37" s="25">
        <v>3107.85139</v>
      </c>
      <c r="Q37" s="25">
        <v>23464.16769</v>
      </c>
      <c r="R37" s="18"/>
      <c r="S37" s="25">
        <v>11367.96015</v>
      </c>
      <c r="T37" s="25">
        <v>9945.276557</v>
      </c>
      <c r="U37" s="25">
        <v>2583.042311</v>
      </c>
      <c r="V37" s="25">
        <v>19013.25938</v>
      </c>
      <c r="W37" s="25">
        <v>2240.766961</v>
      </c>
      <c r="X37" s="25">
        <v>2533.953165</v>
      </c>
      <c r="Y37" s="25">
        <v>524.8090786</v>
      </c>
      <c r="Z37" s="25">
        <v>4450.908311</v>
      </c>
    </row>
    <row r="38">
      <c r="A38" s="28"/>
      <c r="B38" s="19">
        <v>40580.0</v>
      </c>
      <c r="C38" s="20">
        <v>6.0</v>
      </c>
      <c r="D38" s="26">
        <v>37.0</v>
      </c>
      <c r="E38" s="9">
        <f t="shared" si="8"/>
        <v>7380.821429</v>
      </c>
      <c r="F38" s="9">
        <f t="shared" si="6"/>
        <v>0.2903225806</v>
      </c>
      <c r="G38" s="22">
        <f t="shared" si="7"/>
        <v>7390.238516</v>
      </c>
      <c r="H38" s="8"/>
      <c r="I38" s="9">
        <f t="shared" si="2"/>
        <v>6</v>
      </c>
      <c r="J38" s="8"/>
      <c r="K38" s="9" t="str">
        <f t="shared" si="3"/>
        <v/>
      </c>
      <c r="L38" s="9">
        <f t="shared" si="5"/>
        <v>43643.27869</v>
      </c>
      <c r="M38" s="27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28"/>
      <c r="B39" s="19">
        <v>40581.0</v>
      </c>
      <c r="C39" s="20">
        <v>6.0</v>
      </c>
      <c r="D39" s="26">
        <v>38.0</v>
      </c>
      <c r="E39" s="9">
        <f t="shared" si="8"/>
        <v>7380.821429</v>
      </c>
      <c r="F39" s="9">
        <f t="shared" si="6"/>
        <v>0.2580645161</v>
      </c>
      <c r="G39" s="22">
        <f t="shared" si="7"/>
        <v>7389.192173</v>
      </c>
      <c r="H39" s="8"/>
      <c r="I39" s="9">
        <f t="shared" si="2"/>
        <v>6</v>
      </c>
      <c r="J39" s="8"/>
      <c r="K39" s="9" t="str">
        <f t="shared" si="3"/>
        <v/>
      </c>
      <c r="L39" s="9">
        <f t="shared" si="5"/>
        <v>43643.27869</v>
      </c>
      <c r="M39" s="27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28"/>
      <c r="B40" s="19">
        <v>40582.0</v>
      </c>
      <c r="C40" s="20">
        <v>6.0</v>
      </c>
      <c r="D40" s="26">
        <v>39.0</v>
      </c>
      <c r="E40" s="9">
        <f t="shared" si="8"/>
        <v>7380.821429</v>
      </c>
      <c r="F40" s="9">
        <f t="shared" si="6"/>
        <v>0.2258064516</v>
      </c>
      <c r="G40" s="22">
        <f t="shared" si="7"/>
        <v>7388.14583</v>
      </c>
      <c r="H40" s="8"/>
      <c r="I40" s="9">
        <f t="shared" si="2"/>
        <v>6</v>
      </c>
      <c r="J40" s="8"/>
      <c r="K40" s="9" t="str">
        <f t="shared" si="3"/>
        <v/>
      </c>
      <c r="L40" s="9">
        <f t="shared" si="5"/>
        <v>43643.27869</v>
      </c>
      <c r="M40" s="27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28"/>
      <c r="B41" s="19">
        <v>40583.0</v>
      </c>
      <c r="C41" s="20">
        <v>6.0</v>
      </c>
      <c r="D41" s="26">
        <v>40.0</v>
      </c>
      <c r="E41" s="9">
        <f t="shared" si="8"/>
        <v>7380.821429</v>
      </c>
      <c r="F41" s="9">
        <f t="shared" si="6"/>
        <v>0.1935483871</v>
      </c>
      <c r="G41" s="22">
        <f t="shared" si="7"/>
        <v>7387.099487</v>
      </c>
      <c r="H41" s="8"/>
      <c r="I41" s="9">
        <f t="shared" si="2"/>
        <v>6</v>
      </c>
      <c r="J41" s="8"/>
      <c r="K41" s="9" t="str">
        <f t="shared" si="3"/>
        <v/>
      </c>
      <c r="L41" s="9">
        <f t="shared" si="5"/>
        <v>43643.27869</v>
      </c>
      <c r="M41" s="27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28"/>
      <c r="B42" s="19">
        <v>40584.0</v>
      </c>
      <c r="C42" s="20">
        <v>6.0</v>
      </c>
      <c r="D42" s="26">
        <v>41.0</v>
      </c>
      <c r="E42" s="9">
        <f t="shared" si="8"/>
        <v>7380.821429</v>
      </c>
      <c r="F42" s="9">
        <f t="shared" si="6"/>
        <v>0.1612903226</v>
      </c>
      <c r="G42" s="22">
        <f t="shared" si="7"/>
        <v>7386.053144</v>
      </c>
      <c r="H42" s="8"/>
      <c r="I42" s="9">
        <f t="shared" si="2"/>
        <v>6</v>
      </c>
      <c r="J42" s="8"/>
      <c r="K42" s="9" t="str">
        <f t="shared" si="3"/>
        <v/>
      </c>
      <c r="L42" s="9">
        <f t="shared" si="5"/>
        <v>43643.27869</v>
      </c>
      <c r="M42" s="27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>
      <c r="A43" s="28"/>
      <c r="B43" s="19">
        <v>40585.0</v>
      </c>
      <c r="C43" s="20">
        <v>6.0</v>
      </c>
      <c r="D43" s="26">
        <v>42.0</v>
      </c>
      <c r="E43" s="9">
        <f t="shared" si="8"/>
        <v>7380.821429</v>
      </c>
      <c r="F43" s="9">
        <f t="shared" si="6"/>
        <v>0.1290322581</v>
      </c>
      <c r="G43" s="22">
        <f t="shared" si="7"/>
        <v>7385.006801</v>
      </c>
      <c r="H43" s="8"/>
      <c r="I43" s="9">
        <f t="shared" si="2"/>
        <v>6</v>
      </c>
      <c r="J43" s="8"/>
      <c r="K43" s="9" t="str">
        <f t="shared" si="3"/>
        <v/>
      </c>
      <c r="L43" s="9">
        <f t="shared" si="5"/>
        <v>43643.27869</v>
      </c>
      <c r="M43" s="27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>
      <c r="A44" s="28"/>
      <c r="B44" s="19">
        <v>40586.0</v>
      </c>
      <c r="C44" s="20">
        <v>7.0</v>
      </c>
      <c r="D44" s="26">
        <v>43.0</v>
      </c>
      <c r="E44" s="9">
        <f t="shared" si="8"/>
        <v>7380.821429</v>
      </c>
      <c r="F44" s="9">
        <f t="shared" si="6"/>
        <v>0.09677419355</v>
      </c>
      <c r="G44" s="22">
        <f t="shared" si="7"/>
        <v>7383.960458</v>
      </c>
      <c r="H44" s="8"/>
      <c r="I44" s="9">
        <f t="shared" si="2"/>
        <v>7</v>
      </c>
      <c r="J44" s="22">
        <f>SUM(G44:G50)</f>
        <v>51725.07784</v>
      </c>
      <c r="K44" s="22">
        <f t="shared" si="3"/>
        <v>51725.07784</v>
      </c>
      <c r="L44" s="9">
        <f t="shared" si="5"/>
        <v>43643.27869</v>
      </c>
      <c r="M44" s="24">
        <v>43643.27869</v>
      </c>
      <c r="N44" s="25">
        <v>14131.06089</v>
      </c>
      <c r="O44" s="25">
        <v>12166.22698</v>
      </c>
      <c r="P44" s="25">
        <v>3250.650189</v>
      </c>
      <c r="Q44" s="25">
        <v>22097.58311</v>
      </c>
      <c r="R44" s="18"/>
      <c r="S44" s="25">
        <v>11224.01502</v>
      </c>
      <c r="T44" s="25">
        <v>9957.850924</v>
      </c>
      <c r="U44" s="25">
        <v>2647.315889</v>
      </c>
      <c r="V44" s="25">
        <v>19717.90743</v>
      </c>
      <c r="W44" s="25">
        <v>2907.045878</v>
      </c>
      <c r="X44" s="25">
        <v>2208.376057</v>
      </c>
      <c r="Y44" s="25">
        <v>603.3342993</v>
      </c>
      <c r="Z44" s="25">
        <v>2379.675681</v>
      </c>
    </row>
    <row r="45">
      <c r="A45" s="28"/>
      <c r="B45" s="19">
        <v>40587.0</v>
      </c>
      <c r="C45" s="20">
        <v>7.0</v>
      </c>
      <c r="D45" s="26">
        <v>44.0</v>
      </c>
      <c r="E45" s="9">
        <f t="shared" si="8"/>
        <v>7380.821429</v>
      </c>
      <c r="F45" s="9">
        <f t="shared" si="6"/>
        <v>0.06451612903</v>
      </c>
      <c r="G45" s="22">
        <f>E30*F45+(1-F45)*E60</f>
        <v>7382.914115</v>
      </c>
      <c r="H45" s="8"/>
      <c r="I45" s="9">
        <f t="shared" si="2"/>
        <v>7</v>
      </c>
      <c r="J45" s="8"/>
      <c r="K45" s="9" t="str">
        <f t="shared" si="3"/>
        <v/>
      </c>
      <c r="L45" s="9">
        <f t="shared" si="5"/>
        <v>43643.27869</v>
      </c>
      <c r="M45" s="27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>
      <c r="A46" s="28"/>
      <c r="B46" s="19">
        <v>40588.0</v>
      </c>
      <c r="C46" s="20">
        <v>7.0</v>
      </c>
      <c r="D46" s="26">
        <v>45.0</v>
      </c>
      <c r="E46" s="9">
        <f t="shared" si="8"/>
        <v>7380.821429</v>
      </c>
      <c r="F46" s="9">
        <f t="shared" si="6"/>
        <v>0.03225806452</v>
      </c>
      <c r="G46" s="22">
        <f>E31*F46+(1-F46)*E60</f>
        <v>7381.867772</v>
      </c>
      <c r="H46" s="8"/>
      <c r="I46" s="9">
        <f t="shared" si="2"/>
        <v>7</v>
      </c>
      <c r="J46" s="8"/>
      <c r="K46" s="9" t="str">
        <f t="shared" si="3"/>
        <v/>
      </c>
      <c r="L46" s="9">
        <f t="shared" si="5"/>
        <v>43643.27869</v>
      </c>
      <c r="M46" s="27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>
      <c r="A47" s="13"/>
      <c r="B47" s="19">
        <v>40589.0</v>
      </c>
      <c r="C47" s="20">
        <v>7.0</v>
      </c>
      <c r="D47" s="26">
        <v>46.0</v>
      </c>
      <c r="E47" s="9">
        <f t="shared" si="8"/>
        <v>7380.821429</v>
      </c>
      <c r="F47" s="9">
        <v>1.0</v>
      </c>
      <c r="G47" s="22">
        <f>E47</f>
        <v>7380.821429</v>
      </c>
      <c r="H47" s="8"/>
      <c r="I47" s="9">
        <f t="shared" si="2"/>
        <v>7</v>
      </c>
      <c r="J47" s="8"/>
      <c r="K47" s="9" t="str">
        <f t="shared" si="3"/>
        <v/>
      </c>
      <c r="L47" s="9">
        <f t="shared" si="5"/>
        <v>43643.27869</v>
      </c>
      <c r="M47" s="27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3"/>
      <c r="B48" s="19">
        <v>40590.0</v>
      </c>
      <c r="C48" s="20">
        <v>7.0</v>
      </c>
      <c r="D48" s="26">
        <v>47.0</v>
      </c>
      <c r="E48" s="9">
        <f t="shared" si="8"/>
        <v>7380.821429</v>
      </c>
      <c r="F48" s="9">
        <f t="shared" ref="F48:F74" si="9">abs((D48-74)/(74-46))</f>
        <v>0.9642857143</v>
      </c>
      <c r="G48" s="22">
        <f t="shared" ref="G48:G75" si="10">E33*F48+(1-F48)*E62</f>
        <v>7389.66306</v>
      </c>
      <c r="H48" s="8"/>
      <c r="I48" s="9">
        <f t="shared" si="2"/>
        <v>7</v>
      </c>
      <c r="J48" s="8"/>
      <c r="K48" s="9" t="str">
        <f t="shared" si="3"/>
        <v/>
      </c>
      <c r="L48" s="9">
        <f t="shared" si="5"/>
        <v>43643.27869</v>
      </c>
      <c r="M48" s="27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28"/>
      <c r="B49" s="19">
        <v>40591.0</v>
      </c>
      <c r="C49" s="20">
        <v>7.0</v>
      </c>
      <c r="D49" s="26">
        <v>48.0</v>
      </c>
      <c r="E49" s="9">
        <f t="shared" si="8"/>
        <v>7380.821429</v>
      </c>
      <c r="F49" s="9">
        <f t="shared" si="9"/>
        <v>0.9285714286</v>
      </c>
      <c r="G49" s="22">
        <f t="shared" si="10"/>
        <v>7398.504691</v>
      </c>
      <c r="H49" s="8"/>
      <c r="I49" s="9">
        <f t="shared" si="2"/>
        <v>7</v>
      </c>
      <c r="J49" s="8"/>
      <c r="K49" s="9" t="str">
        <f t="shared" si="3"/>
        <v/>
      </c>
      <c r="L49" s="9">
        <f t="shared" si="5"/>
        <v>43643.27869</v>
      </c>
      <c r="M49" s="27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28"/>
      <c r="B50" s="19">
        <v>40592.0</v>
      </c>
      <c r="C50" s="20">
        <v>7.0</v>
      </c>
      <c r="D50" s="26">
        <v>49.0</v>
      </c>
      <c r="E50" s="9">
        <f t="shared" si="8"/>
        <v>7380.821429</v>
      </c>
      <c r="F50" s="9">
        <f t="shared" si="9"/>
        <v>0.8928571429</v>
      </c>
      <c r="G50" s="22">
        <f t="shared" si="10"/>
        <v>7407.346322</v>
      </c>
      <c r="H50" s="8"/>
      <c r="I50" s="9">
        <f t="shared" si="2"/>
        <v>7</v>
      </c>
      <c r="J50" s="8"/>
      <c r="K50" s="9" t="str">
        <f t="shared" si="3"/>
        <v/>
      </c>
      <c r="L50" s="9">
        <f t="shared" si="5"/>
        <v>43643.27869</v>
      </c>
      <c r="M50" s="27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28"/>
      <c r="B51" s="19">
        <v>40593.0</v>
      </c>
      <c r="C51" s="20">
        <v>8.0</v>
      </c>
      <c r="D51" s="26">
        <v>50.0</v>
      </c>
      <c r="E51" s="9">
        <f t="shared" si="8"/>
        <v>7380.821429</v>
      </c>
      <c r="F51" s="9">
        <f t="shared" si="9"/>
        <v>0.8571428571</v>
      </c>
      <c r="G51" s="22">
        <f t="shared" si="10"/>
        <v>7416.187953</v>
      </c>
      <c r="H51" s="8"/>
      <c r="I51" s="9">
        <f t="shared" si="2"/>
        <v>8</v>
      </c>
      <c r="J51" s="22">
        <f>SUM(G51:G57)</f>
        <v>52098.98992</v>
      </c>
      <c r="K51" s="22">
        <f t="shared" si="3"/>
        <v>52098.98992</v>
      </c>
      <c r="L51" s="9">
        <f t="shared" si="5"/>
        <v>43643.27869</v>
      </c>
      <c r="M51" s="24">
        <v>43643.27869</v>
      </c>
      <c r="N51" s="25">
        <v>14294.4455</v>
      </c>
      <c r="O51" s="25">
        <v>12238.43359</v>
      </c>
      <c r="P51" s="25">
        <v>3006.903836</v>
      </c>
      <c r="Q51" s="25">
        <v>21718.88517</v>
      </c>
      <c r="R51" s="18"/>
      <c r="S51" s="25">
        <v>11144.37666</v>
      </c>
      <c r="T51" s="25">
        <v>10057.28636</v>
      </c>
      <c r="U51" s="25">
        <v>2689.220161</v>
      </c>
      <c r="V51" s="25">
        <v>19004.71084</v>
      </c>
      <c r="W51" s="25">
        <v>3150.068841</v>
      </c>
      <c r="X51" s="25">
        <v>2181.14723</v>
      </c>
      <c r="Y51" s="25">
        <v>317.6836751</v>
      </c>
      <c r="Z51" s="25">
        <v>2714.174326</v>
      </c>
    </row>
    <row r="52">
      <c r="A52" s="28"/>
      <c r="B52" s="19">
        <v>40594.0</v>
      </c>
      <c r="C52" s="20">
        <v>8.0</v>
      </c>
      <c r="D52" s="26">
        <v>51.0</v>
      </c>
      <c r="E52" s="9">
        <f t="shared" si="8"/>
        <v>7380.821429</v>
      </c>
      <c r="F52" s="9">
        <f t="shared" si="9"/>
        <v>0.8214285714</v>
      </c>
      <c r="G52" s="22">
        <f t="shared" si="10"/>
        <v>7425.029584</v>
      </c>
      <c r="H52" s="8"/>
      <c r="I52" s="9">
        <f t="shared" si="2"/>
        <v>8</v>
      </c>
      <c r="J52" s="8"/>
      <c r="K52" s="9" t="str">
        <f t="shared" si="3"/>
        <v/>
      </c>
      <c r="L52" s="9">
        <f t="shared" si="5"/>
        <v>43643.27869</v>
      </c>
      <c r="M52" s="27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28"/>
      <c r="B53" s="19">
        <v>40595.0</v>
      </c>
      <c r="C53" s="20">
        <v>8.0</v>
      </c>
      <c r="D53" s="26">
        <v>52.0</v>
      </c>
      <c r="E53" s="9">
        <f t="shared" si="8"/>
        <v>7380.821429</v>
      </c>
      <c r="F53" s="9">
        <f t="shared" si="9"/>
        <v>0.7857142857</v>
      </c>
      <c r="G53" s="22">
        <f t="shared" si="10"/>
        <v>7433.871215</v>
      </c>
      <c r="H53" s="8"/>
      <c r="I53" s="9">
        <f t="shared" si="2"/>
        <v>8</v>
      </c>
      <c r="J53" s="8"/>
      <c r="K53" s="9" t="str">
        <f t="shared" si="3"/>
        <v/>
      </c>
      <c r="L53" s="9">
        <f t="shared" si="5"/>
        <v>43643.27869</v>
      </c>
      <c r="M53" s="27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28"/>
      <c r="B54" s="19">
        <v>40596.0</v>
      </c>
      <c r="C54" s="20">
        <v>8.0</v>
      </c>
      <c r="D54" s="26">
        <v>53.0</v>
      </c>
      <c r="E54" s="9">
        <f t="shared" si="8"/>
        <v>7380.821429</v>
      </c>
      <c r="F54" s="9">
        <f t="shared" si="9"/>
        <v>0.75</v>
      </c>
      <c r="G54" s="22">
        <f t="shared" si="10"/>
        <v>7442.712846</v>
      </c>
      <c r="H54" s="8"/>
      <c r="I54" s="9">
        <f t="shared" si="2"/>
        <v>8</v>
      </c>
      <c r="J54" s="8"/>
      <c r="K54" s="9" t="str">
        <f t="shared" si="3"/>
        <v/>
      </c>
      <c r="L54" s="9">
        <f t="shared" si="5"/>
        <v>43643.27869</v>
      </c>
      <c r="M54" s="2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>
      <c r="A55" s="28"/>
      <c r="B55" s="19">
        <v>40597.0</v>
      </c>
      <c r="C55" s="20">
        <v>8.0</v>
      </c>
      <c r="D55" s="26">
        <v>54.0</v>
      </c>
      <c r="E55" s="9">
        <f t="shared" si="8"/>
        <v>7380.821429</v>
      </c>
      <c r="F55" s="9">
        <f t="shared" si="9"/>
        <v>0.7142857143</v>
      </c>
      <c r="G55" s="22">
        <f t="shared" si="10"/>
        <v>7451.554477</v>
      </c>
      <c r="H55" s="8"/>
      <c r="I55" s="9">
        <f t="shared" si="2"/>
        <v>8</v>
      </c>
      <c r="J55" s="8"/>
      <c r="K55" s="9" t="str">
        <f t="shared" si="3"/>
        <v/>
      </c>
      <c r="L55" s="9">
        <f t="shared" si="5"/>
        <v>43643.27869</v>
      </c>
      <c r="M55" s="27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>
      <c r="A56" s="28"/>
      <c r="B56" s="19">
        <v>40598.0</v>
      </c>
      <c r="C56" s="20">
        <v>8.0</v>
      </c>
      <c r="D56" s="26">
        <v>55.0</v>
      </c>
      <c r="E56" s="9">
        <f t="shared" si="8"/>
        <v>7380.821429</v>
      </c>
      <c r="F56" s="9">
        <f t="shared" si="9"/>
        <v>0.6785714286</v>
      </c>
      <c r="G56" s="22">
        <f t="shared" si="10"/>
        <v>7460.396108</v>
      </c>
      <c r="H56" s="8"/>
      <c r="I56" s="9">
        <f t="shared" si="2"/>
        <v>8</v>
      </c>
      <c r="J56" s="8"/>
      <c r="K56" s="9" t="str">
        <f t="shared" si="3"/>
        <v/>
      </c>
      <c r="L56" s="9">
        <f t="shared" si="5"/>
        <v>43643.27869</v>
      </c>
      <c r="M56" s="27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>
      <c r="A57" s="28"/>
      <c r="B57" s="19">
        <v>40599.0</v>
      </c>
      <c r="C57" s="20">
        <v>8.0</v>
      </c>
      <c r="D57" s="26">
        <v>56.0</v>
      </c>
      <c r="E57" s="9">
        <f t="shared" si="8"/>
        <v>7380.821429</v>
      </c>
      <c r="F57" s="9">
        <f t="shared" si="9"/>
        <v>0.6428571429</v>
      </c>
      <c r="G57" s="22">
        <f t="shared" si="10"/>
        <v>7469.237739</v>
      </c>
      <c r="H57" s="8"/>
      <c r="I57" s="9">
        <f t="shared" si="2"/>
        <v>8</v>
      </c>
      <c r="J57" s="8"/>
      <c r="K57" s="9" t="str">
        <f t="shared" si="3"/>
        <v/>
      </c>
      <c r="L57" s="9">
        <f t="shared" si="5"/>
        <v>43643.27869</v>
      </c>
      <c r="M57" s="27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>
      <c r="A58" s="28"/>
      <c r="B58" s="19">
        <v>40600.0</v>
      </c>
      <c r="C58" s="20">
        <v>9.0</v>
      </c>
      <c r="D58" s="26">
        <v>57.0</v>
      </c>
      <c r="E58" s="9">
        <f t="shared" si="8"/>
        <v>7380.821429</v>
      </c>
      <c r="F58" s="9">
        <f t="shared" si="9"/>
        <v>0.6071428571</v>
      </c>
      <c r="G58" s="22">
        <f t="shared" si="10"/>
        <v>7478.07937</v>
      </c>
      <c r="H58" s="8"/>
      <c r="I58" s="9">
        <f t="shared" si="2"/>
        <v>9</v>
      </c>
      <c r="J58" s="22">
        <f>SUM(G58:G64)</f>
        <v>52532.22984</v>
      </c>
      <c r="K58" s="22">
        <f t="shared" si="3"/>
        <v>52532.22984</v>
      </c>
      <c r="L58" s="9">
        <f t="shared" si="5"/>
        <v>43643.27869</v>
      </c>
      <c r="M58" s="24">
        <v>43643.27869</v>
      </c>
      <c r="N58" s="25">
        <v>14020.57928</v>
      </c>
      <c r="O58" s="25">
        <v>12516.61881</v>
      </c>
      <c r="P58" s="25">
        <v>3340.952124</v>
      </c>
      <c r="Q58" s="25">
        <v>23029.42835</v>
      </c>
      <c r="R58" s="18"/>
      <c r="S58" s="25">
        <v>11325.53467</v>
      </c>
      <c r="T58" s="25">
        <v>10360.23971</v>
      </c>
      <c r="U58" s="25">
        <v>2584.77937</v>
      </c>
      <c r="V58" s="25">
        <v>18605.98622</v>
      </c>
      <c r="W58" s="25">
        <v>2695.044607</v>
      </c>
      <c r="X58" s="25">
        <v>2156.3791</v>
      </c>
      <c r="Y58" s="25">
        <v>756.1727538</v>
      </c>
      <c r="Z58" s="25">
        <v>4423.442137</v>
      </c>
    </row>
    <row r="59">
      <c r="A59" s="28"/>
      <c r="B59" s="19">
        <v>40601.0</v>
      </c>
      <c r="C59" s="20">
        <v>9.0</v>
      </c>
      <c r="D59" s="26">
        <v>58.0</v>
      </c>
      <c r="E59" s="9">
        <f t="shared" si="8"/>
        <v>7380.821429</v>
      </c>
      <c r="F59" s="9">
        <f t="shared" si="9"/>
        <v>0.5714285714</v>
      </c>
      <c r="G59" s="22">
        <f t="shared" si="10"/>
        <v>7486.921001</v>
      </c>
      <c r="H59" s="8"/>
      <c r="I59" s="9">
        <f t="shared" si="2"/>
        <v>9</v>
      </c>
      <c r="J59" s="8"/>
      <c r="K59" s="9" t="str">
        <f t="shared" si="3"/>
        <v/>
      </c>
      <c r="L59" s="9">
        <f t="shared" si="5"/>
        <v>43643.27869</v>
      </c>
      <c r="M59" s="27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>
      <c r="A60" s="28"/>
      <c r="B60" s="19">
        <v>40602.0</v>
      </c>
      <c r="C60" s="20">
        <v>9.0</v>
      </c>
      <c r="D60" s="26">
        <v>59.0</v>
      </c>
      <c r="E60" s="9">
        <f t="shared" si="8"/>
        <v>7380.821429</v>
      </c>
      <c r="F60" s="9">
        <f t="shared" si="9"/>
        <v>0.5357142857</v>
      </c>
      <c r="G60" s="22">
        <f t="shared" si="10"/>
        <v>7495.762632</v>
      </c>
      <c r="H60" s="8"/>
      <c r="I60" s="9">
        <f t="shared" si="2"/>
        <v>9</v>
      </c>
      <c r="J60" s="8"/>
      <c r="K60" s="9" t="str">
        <f t="shared" si="3"/>
        <v/>
      </c>
      <c r="L60" s="9">
        <f t="shared" si="5"/>
        <v>43643.27869</v>
      </c>
      <c r="M60" s="27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>
      <c r="A61" s="13" t="s">
        <v>66</v>
      </c>
      <c r="B61" s="19">
        <v>40603.0</v>
      </c>
      <c r="C61" s="20">
        <v>9.0</v>
      </c>
      <c r="D61" s="26">
        <v>60.0</v>
      </c>
      <c r="E61" s="9">
        <f>A63/31</f>
        <v>7628.387097</v>
      </c>
      <c r="F61" s="9">
        <f t="shared" si="9"/>
        <v>0.5</v>
      </c>
      <c r="G61" s="22">
        <f t="shared" si="10"/>
        <v>7504.604263</v>
      </c>
      <c r="H61" s="8"/>
      <c r="I61" s="9">
        <f t="shared" si="2"/>
        <v>9</v>
      </c>
      <c r="J61" s="8"/>
      <c r="K61" s="9" t="str">
        <f t="shared" si="3"/>
        <v/>
      </c>
      <c r="L61" s="9">
        <f t="shared" si="5"/>
        <v>43643.27869</v>
      </c>
      <c r="M61" s="27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>
      <c r="A62" s="28"/>
      <c r="B62" s="19">
        <v>40604.0</v>
      </c>
      <c r="C62" s="20">
        <v>9.0</v>
      </c>
      <c r="D62" s="26">
        <v>61.0</v>
      </c>
      <c r="E62" s="9">
        <f t="shared" ref="E62:E91" si="11">E61</f>
        <v>7628.387097</v>
      </c>
      <c r="F62" s="9">
        <f t="shared" si="9"/>
        <v>0.4642857143</v>
      </c>
      <c r="G62" s="22">
        <f t="shared" si="10"/>
        <v>7513.445894</v>
      </c>
      <c r="H62" s="8"/>
      <c r="I62" s="9">
        <f t="shared" si="2"/>
        <v>9</v>
      </c>
      <c r="J62" s="8"/>
      <c r="K62" s="9" t="str">
        <f t="shared" si="3"/>
        <v/>
      </c>
      <c r="L62" s="9">
        <f t="shared" si="5"/>
        <v>43643.27869</v>
      </c>
      <c r="M62" s="27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>
      <c r="A63" s="20">
        <v>236480.0</v>
      </c>
      <c r="B63" s="19">
        <v>40605.0</v>
      </c>
      <c r="C63" s="20">
        <v>9.0</v>
      </c>
      <c r="D63" s="26">
        <v>62.0</v>
      </c>
      <c r="E63" s="9">
        <f t="shared" si="11"/>
        <v>7628.387097</v>
      </c>
      <c r="F63" s="9">
        <f t="shared" si="9"/>
        <v>0.4285714286</v>
      </c>
      <c r="G63" s="22">
        <f t="shared" si="10"/>
        <v>7522.287525</v>
      </c>
      <c r="H63" s="8"/>
      <c r="I63" s="9">
        <f t="shared" si="2"/>
        <v>9</v>
      </c>
      <c r="J63" s="8"/>
      <c r="K63" s="9" t="str">
        <f t="shared" si="3"/>
        <v/>
      </c>
      <c r="L63" s="9">
        <f t="shared" si="5"/>
        <v>43643.27869</v>
      </c>
      <c r="M63" s="27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>
      <c r="A64" s="28"/>
      <c r="B64" s="19">
        <v>40606.0</v>
      </c>
      <c r="C64" s="20">
        <v>9.0</v>
      </c>
      <c r="D64" s="26">
        <v>63.0</v>
      </c>
      <c r="E64" s="9">
        <f t="shared" si="11"/>
        <v>7628.387097</v>
      </c>
      <c r="F64" s="9">
        <f t="shared" si="9"/>
        <v>0.3928571429</v>
      </c>
      <c r="G64" s="22">
        <f t="shared" si="10"/>
        <v>7531.129156</v>
      </c>
      <c r="H64" s="8"/>
      <c r="I64" s="9">
        <f t="shared" si="2"/>
        <v>9</v>
      </c>
      <c r="J64" s="8"/>
      <c r="K64" s="9" t="str">
        <f t="shared" si="3"/>
        <v/>
      </c>
      <c r="L64" s="9">
        <f t="shared" si="5"/>
        <v>43643.27869</v>
      </c>
      <c r="M64" s="27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>
      <c r="A65" s="28"/>
      <c r="B65" s="19">
        <v>40607.0</v>
      </c>
      <c r="C65" s="20">
        <v>10.0</v>
      </c>
      <c r="D65" s="26">
        <v>64.0</v>
      </c>
      <c r="E65" s="9">
        <f t="shared" si="11"/>
        <v>7628.387097</v>
      </c>
      <c r="F65" s="9">
        <f t="shared" si="9"/>
        <v>0.3571428571</v>
      </c>
      <c r="G65" s="22">
        <f t="shared" si="10"/>
        <v>7539.970787</v>
      </c>
      <c r="H65" s="8"/>
      <c r="I65" s="9">
        <f t="shared" si="2"/>
        <v>10</v>
      </c>
      <c r="J65" s="22">
        <f>SUM(G65:G71)</f>
        <v>52965.46976</v>
      </c>
      <c r="K65" s="22">
        <f t="shared" si="3"/>
        <v>52965.46976</v>
      </c>
      <c r="L65" s="9">
        <f t="shared" si="5"/>
        <v>43643.27869</v>
      </c>
      <c r="M65" s="24">
        <v>43643.27869</v>
      </c>
      <c r="N65" s="25">
        <v>14339.42637</v>
      </c>
      <c r="O65" s="25">
        <v>12087.71674</v>
      </c>
      <c r="P65" s="25">
        <v>3304.424159</v>
      </c>
      <c r="Q65" s="25">
        <v>24101.60268</v>
      </c>
      <c r="R65" s="18"/>
      <c r="S65" s="25">
        <v>11779.40401</v>
      </c>
      <c r="T65" s="25">
        <v>9991.2724</v>
      </c>
      <c r="U65" s="25">
        <v>2595.579038</v>
      </c>
      <c r="V65" s="25">
        <v>19529.00781</v>
      </c>
      <c r="W65" s="25">
        <v>2560.022363</v>
      </c>
      <c r="X65" s="25">
        <v>2096.444339</v>
      </c>
      <c r="Y65" s="25">
        <v>708.8451204</v>
      </c>
      <c r="Z65" s="25">
        <v>4572.594869</v>
      </c>
    </row>
    <row r="66">
      <c r="A66" s="28"/>
      <c r="B66" s="19">
        <v>40608.0</v>
      </c>
      <c r="C66" s="20">
        <v>10.0</v>
      </c>
      <c r="D66" s="26">
        <v>65.0</v>
      </c>
      <c r="E66" s="9">
        <f t="shared" si="11"/>
        <v>7628.387097</v>
      </c>
      <c r="F66" s="9">
        <f t="shared" si="9"/>
        <v>0.3214285714</v>
      </c>
      <c r="G66" s="22">
        <f t="shared" si="10"/>
        <v>7548.812418</v>
      </c>
      <c r="H66" s="8"/>
      <c r="I66" s="9">
        <f t="shared" si="2"/>
        <v>10</v>
      </c>
      <c r="J66" s="8"/>
      <c r="K66" s="9" t="str">
        <f t="shared" si="3"/>
        <v/>
      </c>
      <c r="L66" s="9">
        <f t="shared" si="5"/>
        <v>43643.27869</v>
      </c>
      <c r="M66" s="27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>
      <c r="A67" s="28"/>
      <c r="B67" s="19">
        <v>40609.0</v>
      </c>
      <c r="C67" s="20">
        <v>10.0</v>
      </c>
      <c r="D67" s="26">
        <v>66.0</v>
      </c>
      <c r="E67" s="9">
        <f t="shared" si="11"/>
        <v>7628.387097</v>
      </c>
      <c r="F67" s="9">
        <f t="shared" si="9"/>
        <v>0.2857142857</v>
      </c>
      <c r="G67" s="22">
        <f t="shared" si="10"/>
        <v>7557.654049</v>
      </c>
      <c r="H67" s="8"/>
      <c r="I67" s="9">
        <f t="shared" si="2"/>
        <v>10</v>
      </c>
      <c r="J67" s="8"/>
      <c r="K67" s="9" t="str">
        <f t="shared" si="3"/>
        <v/>
      </c>
      <c r="L67" s="9">
        <f t="shared" si="5"/>
        <v>43643.27869</v>
      </c>
      <c r="M67" s="27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>
      <c r="A68" s="28"/>
      <c r="B68" s="19">
        <v>40610.0</v>
      </c>
      <c r="C68" s="20">
        <v>10.0</v>
      </c>
      <c r="D68" s="26">
        <v>67.0</v>
      </c>
      <c r="E68" s="9">
        <f t="shared" si="11"/>
        <v>7628.387097</v>
      </c>
      <c r="F68" s="9">
        <f t="shared" si="9"/>
        <v>0.25</v>
      </c>
      <c r="G68" s="22">
        <f t="shared" si="10"/>
        <v>7566.49568</v>
      </c>
      <c r="H68" s="8"/>
      <c r="I68" s="9">
        <f t="shared" si="2"/>
        <v>10</v>
      </c>
      <c r="J68" s="8"/>
      <c r="K68" s="9" t="str">
        <f t="shared" si="3"/>
        <v/>
      </c>
      <c r="L68" s="9">
        <f t="shared" si="5"/>
        <v>43643.27869</v>
      </c>
      <c r="M68" s="27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>
      <c r="A69" s="28"/>
      <c r="B69" s="19">
        <v>40611.0</v>
      </c>
      <c r="C69" s="20">
        <v>10.0</v>
      </c>
      <c r="D69" s="26">
        <v>68.0</v>
      </c>
      <c r="E69" s="9">
        <f t="shared" si="11"/>
        <v>7628.387097</v>
      </c>
      <c r="F69" s="9">
        <f t="shared" si="9"/>
        <v>0.2142857143</v>
      </c>
      <c r="G69" s="22">
        <f t="shared" si="10"/>
        <v>7575.337311</v>
      </c>
      <c r="H69" s="8"/>
      <c r="I69" s="9">
        <f t="shared" si="2"/>
        <v>10</v>
      </c>
      <c r="J69" s="8"/>
      <c r="K69" s="9" t="str">
        <f t="shared" si="3"/>
        <v/>
      </c>
      <c r="L69" s="9">
        <f t="shared" si="5"/>
        <v>43643.27869</v>
      </c>
      <c r="M69" s="27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>
      <c r="A70" s="28"/>
      <c r="B70" s="19">
        <v>40612.0</v>
      </c>
      <c r="C70" s="20">
        <v>10.0</v>
      </c>
      <c r="D70" s="26">
        <v>69.0</v>
      </c>
      <c r="E70" s="9">
        <f t="shared" si="11"/>
        <v>7628.387097</v>
      </c>
      <c r="F70" s="9">
        <f t="shared" si="9"/>
        <v>0.1785714286</v>
      </c>
      <c r="G70" s="22">
        <f t="shared" si="10"/>
        <v>7584.178942</v>
      </c>
      <c r="H70" s="8"/>
      <c r="I70" s="9">
        <f t="shared" si="2"/>
        <v>10</v>
      </c>
      <c r="J70" s="8"/>
      <c r="K70" s="9" t="str">
        <f t="shared" si="3"/>
        <v/>
      </c>
      <c r="L70" s="9">
        <f t="shared" si="5"/>
        <v>43643.27869</v>
      </c>
      <c r="M70" s="27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>
      <c r="A71" s="28"/>
      <c r="B71" s="19">
        <v>40613.0</v>
      </c>
      <c r="C71" s="20">
        <v>10.0</v>
      </c>
      <c r="D71" s="26">
        <v>70.0</v>
      </c>
      <c r="E71" s="9">
        <f t="shared" si="11"/>
        <v>7628.387097</v>
      </c>
      <c r="F71" s="9">
        <f t="shared" si="9"/>
        <v>0.1428571429</v>
      </c>
      <c r="G71" s="22">
        <f t="shared" si="10"/>
        <v>7593.020573</v>
      </c>
      <c r="H71" s="8"/>
      <c r="I71" s="9">
        <f t="shared" si="2"/>
        <v>10</v>
      </c>
      <c r="J71" s="8"/>
      <c r="K71" s="9" t="str">
        <f t="shared" si="3"/>
        <v/>
      </c>
      <c r="L71" s="9">
        <f t="shared" si="5"/>
        <v>43643.27869</v>
      </c>
      <c r="M71" s="27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>
      <c r="A72" s="28"/>
      <c r="B72" s="19">
        <v>40614.0</v>
      </c>
      <c r="C72" s="20">
        <v>11.0</v>
      </c>
      <c r="D72" s="26">
        <v>71.0</v>
      </c>
      <c r="E72" s="9">
        <f t="shared" si="11"/>
        <v>7628.387097</v>
      </c>
      <c r="F72" s="9">
        <f t="shared" si="9"/>
        <v>0.1071428571</v>
      </c>
      <c r="G72" s="22">
        <f t="shared" si="10"/>
        <v>7601.862204</v>
      </c>
      <c r="H72" s="8"/>
      <c r="I72" s="9">
        <f t="shared" si="2"/>
        <v>11</v>
      </c>
      <c r="J72" s="22">
        <f>SUM(G72:G78)</f>
        <v>53234.99142</v>
      </c>
      <c r="K72" s="22">
        <f t="shared" si="3"/>
        <v>53234.99142</v>
      </c>
      <c r="L72" s="9">
        <f t="shared" si="5"/>
        <v>43643.27869</v>
      </c>
      <c r="M72" s="24">
        <v>43643.27869</v>
      </c>
      <c r="N72" s="25">
        <v>14005.57828</v>
      </c>
      <c r="O72" s="25">
        <v>12092.48461</v>
      </c>
      <c r="P72" s="25">
        <v>3357.341009</v>
      </c>
      <c r="Q72" s="25">
        <v>22290.8589</v>
      </c>
      <c r="R72" s="18"/>
      <c r="S72" s="25">
        <v>11587.68472</v>
      </c>
      <c r="T72" s="25">
        <v>10714.69373</v>
      </c>
      <c r="U72" s="25">
        <v>2550.338619</v>
      </c>
      <c r="V72" s="25">
        <v>18926.6678</v>
      </c>
      <c r="W72" s="25">
        <v>2417.893563</v>
      </c>
      <c r="X72" s="25">
        <v>1377.790874</v>
      </c>
      <c r="Y72" s="25">
        <v>807.0023896</v>
      </c>
      <c r="Z72" s="25">
        <v>3364.191095</v>
      </c>
    </row>
    <row r="73">
      <c r="A73" s="28"/>
      <c r="B73" s="19">
        <v>40615.0</v>
      </c>
      <c r="C73" s="20">
        <v>11.0</v>
      </c>
      <c r="D73" s="26">
        <v>72.0</v>
      </c>
      <c r="E73" s="9">
        <f t="shared" si="11"/>
        <v>7628.387097</v>
      </c>
      <c r="F73" s="9">
        <f t="shared" si="9"/>
        <v>0.07142857143</v>
      </c>
      <c r="G73" s="22">
        <f t="shared" si="10"/>
        <v>7610.703835</v>
      </c>
      <c r="H73" s="8"/>
      <c r="I73" s="9">
        <f t="shared" si="2"/>
        <v>11</v>
      </c>
      <c r="J73" s="8"/>
      <c r="K73" s="9" t="str">
        <f t="shared" si="3"/>
        <v/>
      </c>
      <c r="L73" s="9">
        <f t="shared" si="5"/>
        <v>43643.27869</v>
      </c>
      <c r="M73" s="27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>
      <c r="A74" s="28"/>
      <c r="B74" s="19">
        <v>40616.0</v>
      </c>
      <c r="C74" s="20">
        <v>11.0</v>
      </c>
      <c r="D74" s="26">
        <v>73.0</v>
      </c>
      <c r="E74" s="9">
        <f t="shared" si="11"/>
        <v>7628.387097</v>
      </c>
      <c r="F74" s="9">
        <f t="shared" si="9"/>
        <v>0.03571428571</v>
      </c>
      <c r="G74" s="22">
        <f t="shared" si="10"/>
        <v>7619.545466</v>
      </c>
      <c r="H74" s="8"/>
      <c r="I74" s="9">
        <f t="shared" si="2"/>
        <v>11</v>
      </c>
      <c r="J74" s="8"/>
      <c r="K74" s="9" t="str">
        <f t="shared" si="3"/>
        <v/>
      </c>
      <c r="L74" s="9">
        <f t="shared" si="5"/>
        <v>43643.27869</v>
      </c>
      <c r="M74" s="27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>
      <c r="A75" s="28"/>
      <c r="B75" s="19">
        <v>40617.0</v>
      </c>
      <c r="C75" s="20">
        <v>11.0</v>
      </c>
      <c r="D75" s="26">
        <v>74.0</v>
      </c>
      <c r="E75" s="9">
        <f t="shared" si="11"/>
        <v>7628.387097</v>
      </c>
      <c r="F75" s="9">
        <v>0.0</v>
      </c>
      <c r="G75" s="22">
        <f t="shared" si="10"/>
        <v>7628.387097</v>
      </c>
      <c r="H75" s="8"/>
      <c r="I75" s="9">
        <f t="shared" si="2"/>
        <v>11</v>
      </c>
      <c r="J75" s="8"/>
      <c r="K75" s="9" t="str">
        <f t="shared" si="3"/>
        <v/>
      </c>
      <c r="L75" s="9">
        <f t="shared" si="5"/>
        <v>43643.27869</v>
      </c>
      <c r="M75" s="27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>
      <c r="A76" s="28"/>
      <c r="B76" s="19">
        <v>40618.0</v>
      </c>
      <c r="C76" s="20">
        <v>11.0</v>
      </c>
      <c r="D76" s="26">
        <v>75.0</v>
      </c>
      <c r="E76" s="9">
        <f t="shared" si="11"/>
        <v>7628.387097</v>
      </c>
      <c r="F76" s="9">
        <f t="shared" ref="F76:F105" si="12">abs((D76-105)/(105-74))</f>
        <v>0.9677419355</v>
      </c>
      <c r="G76" s="22">
        <f t="shared" ref="G76:G105" si="13">E61*F76+(1-F76)*E92</f>
        <v>7609.942352</v>
      </c>
      <c r="H76" s="8"/>
      <c r="I76" s="9">
        <f t="shared" si="2"/>
        <v>11</v>
      </c>
      <c r="J76" s="8"/>
      <c r="K76" s="9" t="str">
        <f t="shared" si="3"/>
        <v/>
      </c>
      <c r="L76" s="9">
        <f t="shared" si="5"/>
        <v>43643.27869</v>
      </c>
      <c r="M76" s="27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>
      <c r="A77" s="13"/>
      <c r="B77" s="19">
        <v>40619.0</v>
      </c>
      <c r="C77" s="20">
        <v>11.0</v>
      </c>
      <c r="D77" s="26">
        <v>76.0</v>
      </c>
      <c r="E77" s="9">
        <f t="shared" si="11"/>
        <v>7628.387097</v>
      </c>
      <c r="F77" s="9">
        <f t="shared" si="12"/>
        <v>0.935483871</v>
      </c>
      <c r="G77" s="22">
        <f t="shared" si="13"/>
        <v>7591.497607</v>
      </c>
      <c r="H77" s="8"/>
      <c r="I77" s="9">
        <f t="shared" si="2"/>
        <v>11</v>
      </c>
      <c r="J77" s="8"/>
      <c r="K77" s="9" t="str">
        <f t="shared" si="3"/>
        <v/>
      </c>
      <c r="L77" s="9">
        <f t="shared" si="5"/>
        <v>43643.27869</v>
      </c>
      <c r="M77" s="27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>
      <c r="A78" s="13"/>
      <c r="B78" s="19">
        <v>40620.0</v>
      </c>
      <c r="C78" s="20">
        <v>11.0</v>
      </c>
      <c r="D78" s="26">
        <v>77.0</v>
      </c>
      <c r="E78" s="9">
        <f t="shared" si="11"/>
        <v>7628.387097</v>
      </c>
      <c r="F78" s="9">
        <f t="shared" si="12"/>
        <v>0.9032258065</v>
      </c>
      <c r="G78" s="22">
        <f t="shared" si="13"/>
        <v>7573.052862</v>
      </c>
      <c r="H78" s="8"/>
      <c r="I78" s="9">
        <f t="shared" si="2"/>
        <v>11</v>
      </c>
      <c r="J78" s="8"/>
      <c r="K78" s="9" t="str">
        <f t="shared" si="3"/>
        <v/>
      </c>
      <c r="L78" s="9">
        <f t="shared" si="5"/>
        <v>43643.27869</v>
      </c>
      <c r="M78" s="27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>
      <c r="A79" s="28"/>
      <c r="B79" s="19">
        <v>40621.0</v>
      </c>
      <c r="C79" s="20">
        <v>12.0</v>
      </c>
      <c r="D79" s="26">
        <v>78.0</v>
      </c>
      <c r="E79" s="9">
        <f t="shared" si="11"/>
        <v>7628.387097</v>
      </c>
      <c r="F79" s="9">
        <f t="shared" si="12"/>
        <v>0.8709677419</v>
      </c>
      <c r="G79" s="22">
        <f t="shared" si="13"/>
        <v>7554.608117</v>
      </c>
      <c r="H79" s="8"/>
      <c r="I79" s="9">
        <f t="shared" si="2"/>
        <v>12</v>
      </c>
      <c r="J79" s="22">
        <f>SUM(G79:G85)</f>
        <v>52494.91717</v>
      </c>
      <c r="K79" s="22">
        <f t="shared" si="3"/>
        <v>52494.91717</v>
      </c>
      <c r="L79" s="9">
        <f t="shared" si="5"/>
        <v>43643.27869</v>
      </c>
      <c r="M79" s="24">
        <v>43643.27869</v>
      </c>
      <c r="N79" s="25">
        <v>14464.81361</v>
      </c>
      <c r="O79" s="25">
        <v>12544.12526</v>
      </c>
      <c r="P79" s="25">
        <v>3275.597664</v>
      </c>
      <c r="Q79" s="25">
        <v>22593.13384</v>
      </c>
      <c r="R79" s="18"/>
      <c r="S79" s="25">
        <v>11916.72208</v>
      </c>
      <c r="T79" s="25">
        <v>10744.4587</v>
      </c>
      <c r="U79" s="25">
        <v>2578.205071</v>
      </c>
      <c r="V79" s="25">
        <v>18142.44289</v>
      </c>
      <c r="W79" s="25">
        <v>2548.091532</v>
      </c>
      <c r="X79" s="25">
        <v>1799.666558</v>
      </c>
      <c r="Y79" s="25">
        <v>697.3925932</v>
      </c>
      <c r="Z79" s="25">
        <v>4450.690958</v>
      </c>
    </row>
    <row r="80">
      <c r="A80" s="28"/>
      <c r="B80" s="19">
        <v>40622.0</v>
      </c>
      <c r="C80" s="20">
        <v>12.0</v>
      </c>
      <c r="D80" s="26">
        <v>79.0</v>
      </c>
      <c r="E80" s="9">
        <f t="shared" si="11"/>
        <v>7628.387097</v>
      </c>
      <c r="F80" s="9">
        <f t="shared" si="12"/>
        <v>0.8387096774</v>
      </c>
      <c r="G80" s="22">
        <f t="shared" si="13"/>
        <v>7536.163371</v>
      </c>
      <c r="H80" s="8"/>
      <c r="I80" s="9">
        <f t="shared" si="2"/>
        <v>12</v>
      </c>
      <c r="J80" s="8"/>
      <c r="K80" s="9" t="str">
        <f t="shared" si="3"/>
        <v/>
      </c>
      <c r="L80" s="9">
        <f t="shared" si="5"/>
        <v>43643.27869</v>
      </c>
      <c r="M80" s="27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>
      <c r="A81" s="28"/>
      <c r="B81" s="19">
        <v>40623.0</v>
      </c>
      <c r="C81" s="20">
        <v>12.0</v>
      </c>
      <c r="D81" s="26">
        <v>80.0</v>
      </c>
      <c r="E81" s="9">
        <f t="shared" si="11"/>
        <v>7628.387097</v>
      </c>
      <c r="F81" s="9">
        <f t="shared" si="12"/>
        <v>0.8064516129</v>
      </c>
      <c r="G81" s="22">
        <f t="shared" si="13"/>
        <v>7517.718626</v>
      </c>
      <c r="H81" s="8"/>
      <c r="I81" s="9">
        <f t="shared" si="2"/>
        <v>12</v>
      </c>
      <c r="J81" s="8"/>
      <c r="K81" s="9" t="str">
        <f t="shared" si="3"/>
        <v/>
      </c>
      <c r="L81" s="9">
        <f t="shared" si="5"/>
        <v>43643.27869</v>
      </c>
      <c r="M81" s="27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>
      <c r="A82" s="28"/>
      <c r="B82" s="19">
        <v>40624.0</v>
      </c>
      <c r="C82" s="20">
        <v>12.0</v>
      </c>
      <c r="D82" s="26">
        <v>81.0</v>
      </c>
      <c r="E82" s="9">
        <f t="shared" si="11"/>
        <v>7628.387097</v>
      </c>
      <c r="F82" s="9">
        <f t="shared" si="12"/>
        <v>0.7741935484</v>
      </c>
      <c r="G82" s="22">
        <f t="shared" si="13"/>
        <v>7499.273881</v>
      </c>
      <c r="H82" s="8"/>
      <c r="I82" s="9">
        <f t="shared" si="2"/>
        <v>12</v>
      </c>
      <c r="J82" s="8"/>
      <c r="K82" s="9" t="str">
        <f t="shared" si="3"/>
        <v/>
      </c>
      <c r="L82" s="9">
        <f t="shared" si="5"/>
        <v>43643.27869</v>
      </c>
      <c r="M82" s="27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>
      <c r="A83" s="28"/>
      <c r="B83" s="19">
        <v>40625.0</v>
      </c>
      <c r="C83" s="20">
        <v>12.0</v>
      </c>
      <c r="D83" s="26">
        <v>82.0</v>
      </c>
      <c r="E83" s="9">
        <f t="shared" si="11"/>
        <v>7628.387097</v>
      </c>
      <c r="F83" s="9">
        <f t="shared" si="12"/>
        <v>0.7419354839</v>
      </c>
      <c r="G83" s="22">
        <f t="shared" si="13"/>
        <v>7480.829136</v>
      </c>
      <c r="H83" s="8"/>
      <c r="I83" s="9">
        <f t="shared" si="2"/>
        <v>12</v>
      </c>
      <c r="J83" s="8"/>
      <c r="K83" s="9" t="str">
        <f t="shared" si="3"/>
        <v/>
      </c>
      <c r="L83" s="9">
        <f t="shared" si="5"/>
        <v>43643.27869</v>
      </c>
      <c r="M83" s="27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>
      <c r="A84" s="28"/>
      <c r="B84" s="19">
        <v>40626.0</v>
      </c>
      <c r="C84" s="20">
        <v>12.0</v>
      </c>
      <c r="D84" s="26">
        <v>83.0</v>
      </c>
      <c r="E84" s="9">
        <f t="shared" si="11"/>
        <v>7628.387097</v>
      </c>
      <c r="F84" s="9">
        <f t="shared" si="12"/>
        <v>0.7096774194</v>
      </c>
      <c r="G84" s="22">
        <f t="shared" si="13"/>
        <v>7462.384391</v>
      </c>
      <c r="H84" s="8"/>
      <c r="I84" s="9">
        <f t="shared" si="2"/>
        <v>12</v>
      </c>
      <c r="J84" s="8"/>
      <c r="K84" s="9" t="str">
        <f t="shared" si="3"/>
        <v/>
      </c>
      <c r="L84" s="9">
        <f t="shared" si="5"/>
        <v>43643.27869</v>
      </c>
      <c r="M84" s="27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>
      <c r="A85" s="28"/>
      <c r="B85" s="19">
        <v>40627.0</v>
      </c>
      <c r="C85" s="20">
        <v>12.0</v>
      </c>
      <c r="D85" s="26">
        <v>84.0</v>
      </c>
      <c r="E85" s="9">
        <f t="shared" si="11"/>
        <v>7628.387097</v>
      </c>
      <c r="F85" s="9">
        <f t="shared" si="12"/>
        <v>0.6774193548</v>
      </c>
      <c r="G85" s="22">
        <f t="shared" si="13"/>
        <v>7443.939646</v>
      </c>
      <c r="H85" s="8"/>
      <c r="I85" s="9">
        <f t="shared" si="2"/>
        <v>12</v>
      </c>
      <c r="J85" s="8"/>
      <c r="K85" s="9" t="str">
        <f t="shared" si="3"/>
        <v/>
      </c>
      <c r="L85" s="9">
        <f t="shared" si="5"/>
        <v>43643.27869</v>
      </c>
      <c r="M85" s="27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>
      <c r="A86" s="28"/>
      <c r="B86" s="19">
        <v>40628.0</v>
      </c>
      <c r="C86" s="20">
        <v>13.0</v>
      </c>
      <c r="D86" s="26">
        <v>85.0</v>
      </c>
      <c r="E86" s="9">
        <f t="shared" si="11"/>
        <v>7628.387097</v>
      </c>
      <c r="F86" s="9">
        <f t="shared" si="12"/>
        <v>0.6451612903</v>
      </c>
      <c r="G86" s="22">
        <f t="shared" si="13"/>
        <v>7425.494901</v>
      </c>
      <c r="H86" s="8"/>
      <c r="I86" s="9">
        <f t="shared" si="2"/>
        <v>13</v>
      </c>
      <c r="J86" s="22">
        <f>SUM(G86:G92)</f>
        <v>51591.12466</v>
      </c>
      <c r="K86" s="22">
        <f t="shared" si="3"/>
        <v>51591.12466</v>
      </c>
      <c r="L86" s="9">
        <f t="shared" si="5"/>
        <v>43643.27869</v>
      </c>
      <c r="M86" s="24">
        <v>43643.27869</v>
      </c>
      <c r="N86" s="25">
        <v>13344.84242</v>
      </c>
      <c r="O86" s="25">
        <v>11847.00584</v>
      </c>
      <c r="P86" s="25">
        <v>3231.181881</v>
      </c>
      <c r="Q86" s="25">
        <v>23215.02875</v>
      </c>
      <c r="R86" s="18"/>
      <c r="S86" s="25">
        <v>11972.48926</v>
      </c>
      <c r="T86" s="25">
        <v>10326.44831</v>
      </c>
      <c r="U86" s="25">
        <v>2713.341557</v>
      </c>
      <c r="V86" s="25">
        <v>18359.65503</v>
      </c>
      <c r="W86" s="25">
        <v>1372.353161</v>
      </c>
      <c r="X86" s="25">
        <v>1520.55753</v>
      </c>
      <c r="Y86" s="25">
        <v>517.8403243</v>
      </c>
      <c r="Z86" s="25">
        <v>4855.373712</v>
      </c>
    </row>
    <row r="87">
      <c r="A87" s="28"/>
      <c r="B87" s="19">
        <v>40629.0</v>
      </c>
      <c r="C87" s="20">
        <v>13.0</v>
      </c>
      <c r="D87" s="26">
        <v>86.0</v>
      </c>
      <c r="E87" s="9">
        <f t="shared" si="11"/>
        <v>7628.387097</v>
      </c>
      <c r="F87" s="9">
        <f t="shared" si="12"/>
        <v>0.6129032258</v>
      </c>
      <c r="G87" s="22">
        <f t="shared" si="13"/>
        <v>7407.050156</v>
      </c>
      <c r="H87" s="8"/>
      <c r="I87" s="9">
        <f t="shared" si="2"/>
        <v>13</v>
      </c>
      <c r="J87" s="8"/>
      <c r="K87" s="9" t="str">
        <f t="shared" si="3"/>
        <v/>
      </c>
      <c r="L87" s="9">
        <f t="shared" si="5"/>
        <v>43643.27869</v>
      </c>
      <c r="M87" s="27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>
      <c r="A88" s="28"/>
      <c r="B88" s="19">
        <v>40630.0</v>
      </c>
      <c r="C88" s="20">
        <v>13.0</v>
      </c>
      <c r="D88" s="26">
        <v>87.0</v>
      </c>
      <c r="E88" s="9">
        <f t="shared" si="11"/>
        <v>7628.387097</v>
      </c>
      <c r="F88" s="9">
        <f t="shared" si="12"/>
        <v>0.5806451613</v>
      </c>
      <c r="G88" s="22">
        <f t="shared" si="13"/>
        <v>7388.605411</v>
      </c>
      <c r="H88" s="8"/>
      <c r="I88" s="9">
        <f t="shared" si="2"/>
        <v>13</v>
      </c>
      <c r="J88" s="8"/>
      <c r="K88" s="9" t="str">
        <f t="shared" si="3"/>
        <v/>
      </c>
      <c r="L88" s="9">
        <f t="shared" si="5"/>
        <v>43643.27869</v>
      </c>
      <c r="M88" s="27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>
      <c r="A89" s="28"/>
      <c r="B89" s="19">
        <v>40631.0</v>
      </c>
      <c r="C89" s="20">
        <v>13.0</v>
      </c>
      <c r="D89" s="26">
        <v>88.0</v>
      </c>
      <c r="E89" s="9">
        <f t="shared" si="11"/>
        <v>7628.387097</v>
      </c>
      <c r="F89" s="9">
        <f t="shared" si="12"/>
        <v>0.5483870968</v>
      </c>
      <c r="G89" s="22">
        <f t="shared" si="13"/>
        <v>7370.160666</v>
      </c>
      <c r="H89" s="8"/>
      <c r="I89" s="9">
        <f t="shared" si="2"/>
        <v>13</v>
      </c>
      <c r="J89" s="8"/>
      <c r="K89" s="9" t="str">
        <f t="shared" si="3"/>
        <v/>
      </c>
      <c r="L89" s="9">
        <f t="shared" si="5"/>
        <v>43643.27869</v>
      </c>
      <c r="M89" s="27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>
      <c r="A90" s="28"/>
      <c r="B90" s="19">
        <v>40632.0</v>
      </c>
      <c r="C90" s="20">
        <v>13.0</v>
      </c>
      <c r="D90" s="26">
        <v>89.0</v>
      </c>
      <c r="E90" s="9">
        <f t="shared" si="11"/>
        <v>7628.387097</v>
      </c>
      <c r="F90" s="9">
        <f t="shared" si="12"/>
        <v>0.5161290323</v>
      </c>
      <c r="G90" s="22">
        <f t="shared" si="13"/>
        <v>7351.715921</v>
      </c>
      <c r="H90" s="8"/>
      <c r="I90" s="9">
        <f t="shared" si="2"/>
        <v>13</v>
      </c>
      <c r="J90" s="8"/>
      <c r="K90" s="9" t="str">
        <f t="shared" si="3"/>
        <v/>
      </c>
      <c r="L90" s="9">
        <f t="shared" si="5"/>
        <v>43643.27869</v>
      </c>
      <c r="M90" s="27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>
      <c r="A91" s="28"/>
      <c r="B91" s="19">
        <v>40633.0</v>
      </c>
      <c r="C91" s="20">
        <v>13.0</v>
      </c>
      <c r="D91" s="26">
        <v>90.0</v>
      </c>
      <c r="E91" s="9">
        <f t="shared" si="11"/>
        <v>7628.387097</v>
      </c>
      <c r="F91" s="9">
        <f t="shared" si="12"/>
        <v>0.4838709677</v>
      </c>
      <c r="G91" s="22">
        <f t="shared" si="13"/>
        <v>7333.271176</v>
      </c>
      <c r="H91" s="8"/>
      <c r="I91" s="9">
        <f t="shared" si="2"/>
        <v>13</v>
      </c>
      <c r="J91" s="8"/>
      <c r="K91" s="9" t="str">
        <f t="shared" si="3"/>
        <v/>
      </c>
      <c r="L91" s="9">
        <f t="shared" si="5"/>
        <v>43643.27869</v>
      </c>
      <c r="M91" s="27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>
      <c r="A92" s="28"/>
      <c r="B92" s="19">
        <v>40634.0</v>
      </c>
      <c r="C92" s="20">
        <v>13.0</v>
      </c>
      <c r="D92" s="26">
        <v>91.0</v>
      </c>
      <c r="E92" s="9">
        <f>A94/30</f>
        <v>7056.6</v>
      </c>
      <c r="F92" s="9">
        <f t="shared" si="12"/>
        <v>0.4516129032</v>
      </c>
      <c r="G92" s="22">
        <f t="shared" si="13"/>
        <v>7314.826431</v>
      </c>
      <c r="H92" s="8"/>
      <c r="I92" s="9">
        <f t="shared" si="2"/>
        <v>13</v>
      </c>
      <c r="J92" s="8"/>
      <c r="K92" s="9" t="str">
        <f t="shared" si="3"/>
        <v/>
      </c>
      <c r="L92" s="9">
        <f t="shared" si="5"/>
        <v>43643.27869</v>
      </c>
      <c r="M92" s="27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>
      <c r="A93" s="13" t="s">
        <v>67</v>
      </c>
      <c r="B93" s="19">
        <v>40635.0</v>
      </c>
      <c r="C93" s="20">
        <v>14.0</v>
      </c>
      <c r="D93" s="26">
        <v>92.0</v>
      </c>
      <c r="E93" s="9">
        <f>A94/30</f>
        <v>7056.6</v>
      </c>
      <c r="F93" s="9">
        <f t="shared" si="12"/>
        <v>0.4193548387</v>
      </c>
      <c r="G93" s="22">
        <f t="shared" si="13"/>
        <v>7296.381686</v>
      </c>
      <c r="H93" s="8"/>
      <c r="I93" s="9">
        <f t="shared" si="2"/>
        <v>14</v>
      </c>
      <c r="J93" s="22">
        <f>SUM(G93:G99)</f>
        <v>50687.33215</v>
      </c>
      <c r="K93" s="22">
        <f t="shared" si="3"/>
        <v>50687.33215</v>
      </c>
      <c r="L93" s="9">
        <f t="shared" si="5"/>
        <v>43643.27869</v>
      </c>
      <c r="M93" s="24">
        <v>43643.27869</v>
      </c>
      <c r="N93" s="25">
        <v>13422.07465</v>
      </c>
      <c r="O93" s="25">
        <v>11846.58146</v>
      </c>
      <c r="P93" s="25">
        <v>3224.422496</v>
      </c>
      <c r="Q93" s="25">
        <v>21949.82711</v>
      </c>
      <c r="R93" s="18"/>
      <c r="S93" s="25">
        <v>11206.40246</v>
      </c>
      <c r="T93" s="25">
        <v>9886.995164</v>
      </c>
      <c r="U93" s="25">
        <v>2773.688415</v>
      </c>
      <c r="V93" s="25">
        <v>18754.50026</v>
      </c>
      <c r="W93" s="25">
        <v>2215.672186</v>
      </c>
      <c r="X93" s="25">
        <v>1959.586293</v>
      </c>
      <c r="Y93" s="25">
        <v>450.7340806</v>
      </c>
      <c r="Z93" s="25">
        <v>3195.326847</v>
      </c>
    </row>
    <row r="94">
      <c r="A94" s="20">
        <v>211698.0</v>
      </c>
      <c r="B94" s="19">
        <v>40636.0</v>
      </c>
      <c r="C94" s="20">
        <v>14.0</v>
      </c>
      <c r="D94" s="26">
        <v>93.0</v>
      </c>
      <c r="E94" s="9">
        <f t="shared" ref="E94:E121" si="14">E93</f>
        <v>7056.6</v>
      </c>
      <c r="F94" s="9">
        <f t="shared" si="12"/>
        <v>0.3870967742</v>
      </c>
      <c r="G94" s="22">
        <f t="shared" si="13"/>
        <v>7277.936941</v>
      </c>
      <c r="H94" s="8"/>
      <c r="I94" s="9">
        <f t="shared" si="2"/>
        <v>14</v>
      </c>
      <c r="J94" s="8"/>
      <c r="K94" s="9" t="str">
        <f t="shared" si="3"/>
        <v/>
      </c>
      <c r="L94" s="9">
        <f t="shared" si="5"/>
        <v>43643.27869</v>
      </c>
      <c r="M94" s="27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>
      <c r="A95" s="28"/>
      <c r="B95" s="19">
        <v>40637.0</v>
      </c>
      <c r="C95" s="20">
        <v>14.0</v>
      </c>
      <c r="D95" s="26">
        <v>94.0</v>
      </c>
      <c r="E95" s="9">
        <f t="shared" si="14"/>
        <v>7056.6</v>
      </c>
      <c r="F95" s="9">
        <f t="shared" si="12"/>
        <v>0.3548387097</v>
      </c>
      <c r="G95" s="22">
        <f t="shared" si="13"/>
        <v>7259.492196</v>
      </c>
      <c r="H95" s="8"/>
      <c r="I95" s="9">
        <f t="shared" si="2"/>
        <v>14</v>
      </c>
      <c r="J95" s="8"/>
      <c r="K95" s="9" t="str">
        <f t="shared" si="3"/>
        <v/>
      </c>
      <c r="L95" s="9">
        <f t="shared" si="5"/>
        <v>43643.27869</v>
      </c>
      <c r="M95" s="27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>
      <c r="A96" s="28"/>
      <c r="B96" s="19">
        <v>40638.0</v>
      </c>
      <c r="C96" s="20">
        <v>14.0</v>
      </c>
      <c r="D96" s="26">
        <v>95.0</v>
      </c>
      <c r="E96" s="9">
        <f t="shared" si="14"/>
        <v>7056.6</v>
      </c>
      <c r="F96" s="9">
        <f t="shared" si="12"/>
        <v>0.3225806452</v>
      </c>
      <c r="G96" s="22">
        <f t="shared" si="13"/>
        <v>7241.047451</v>
      </c>
      <c r="H96" s="8"/>
      <c r="I96" s="9">
        <f t="shared" si="2"/>
        <v>14</v>
      </c>
      <c r="J96" s="8"/>
      <c r="K96" s="9" t="str">
        <f t="shared" si="3"/>
        <v/>
      </c>
      <c r="L96" s="9">
        <f t="shared" si="5"/>
        <v>43643.27869</v>
      </c>
      <c r="M96" s="27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>
      <c r="A97" s="28"/>
      <c r="B97" s="19">
        <v>40639.0</v>
      </c>
      <c r="C97" s="20">
        <v>14.0</v>
      </c>
      <c r="D97" s="26">
        <v>96.0</v>
      </c>
      <c r="E97" s="9">
        <f t="shared" si="14"/>
        <v>7056.6</v>
      </c>
      <c r="F97" s="9">
        <f t="shared" si="12"/>
        <v>0.2903225806</v>
      </c>
      <c r="G97" s="22">
        <f t="shared" si="13"/>
        <v>7222.602706</v>
      </c>
      <c r="H97" s="8"/>
      <c r="I97" s="9">
        <f t="shared" si="2"/>
        <v>14</v>
      </c>
      <c r="J97" s="8"/>
      <c r="K97" s="9" t="str">
        <f t="shared" si="3"/>
        <v/>
      </c>
      <c r="L97" s="9">
        <f t="shared" si="5"/>
        <v>43643.27869</v>
      </c>
      <c r="M97" s="27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>
      <c r="A98" s="28"/>
      <c r="B98" s="19">
        <v>40640.0</v>
      </c>
      <c r="C98" s="20">
        <v>14.0</v>
      </c>
      <c r="D98" s="26">
        <v>97.0</v>
      </c>
      <c r="E98" s="9">
        <f t="shared" si="14"/>
        <v>7056.6</v>
      </c>
      <c r="F98" s="9">
        <f t="shared" si="12"/>
        <v>0.2580645161</v>
      </c>
      <c r="G98" s="22">
        <f t="shared" si="13"/>
        <v>7204.15796</v>
      </c>
      <c r="H98" s="8"/>
      <c r="I98" s="9">
        <f t="shared" si="2"/>
        <v>14</v>
      </c>
      <c r="J98" s="8"/>
      <c r="K98" s="9" t="str">
        <f t="shared" si="3"/>
        <v/>
      </c>
      <c r="L98" s="9">
        <f t="shared" si="5"/>
        <v>43643.27869</v>
      </c>
      <c r="M98" s="27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>
      <c r="A99" s="28"/>
      <c r="B99" s="19">
        <v>40641.0</v>
      </c>
      <c r="C99" s="20">
        <v>14.0</v>
      </c>
      <c r="D99" s="26">
        <v>98.0</v>
      </c>
      <c r="E99" s="9">
        <f t="shared" si="14"/>
        <v>7056.6</v>
      </c>
      <c r="F99" s="9">
        <f t="shared" si="12"/>
        <v>0.2258064516</v>
      </c>
      <c r="G99" s="22">
        <f t="shared" si="13"/>
        <v>7185.713215</v>
      </c>
      <c r="H99" s="8"/>
      <c r="I99" s="9">
        <f t="shared" si="2"/>
        <v>14</v>
      </c>
      <c r="J99" s="8"/>
      <c r="K99" s="9" t="str">
        <f t="shared" si="3"/>
        <v/>
      </c>
      <c r="L99" s="9">
        <f t="shared" si="5"/>
        <v>43643.27869</v>
      </c>
      <c r="M99" s="27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>
      <c r="A100" s="28"/>
      <c r="B100" s="19">
        <v>40642.0</v>
      </c>
      <c r="C100" s="20">
        <v>15.0</v>
      </c>
      <c r="D100" s="26">
        <v>99.0</v>
      </c>
      <c r="E100" s="9">
        <f t="shared" si="14"/>
        <v>7056.6</v>
      </c>
      <c r="F100" s="9">
        <f t="shared" si="12"/>
        <v>0.1935483871</v>
      </c>
      <c r="G100" s="22">
        <f t="shared" si="13"/>
        <v>7167.26847</v>
      </c>
      <c r="H100" s="8"/>
      <c r="I100" s="9">
        <f t="shared" si="2"/>
        <v>15</v>
      </c>
      <c r="J100" s="22">
        <f>SUM(G100:G106)</f>
        <v>49783.53965</v>
      </c>
      <c r="K100" s="22">
        <f t="shared" si="3"/>
        <v>49783.53965</v>
      </c>
      <c r="L100" s="9">
        <f t="shared" si="5"/>
        <v>43643.27869</v>
      </c>
      <c r="M100" s="24">
        <v>43643.27869</v>
      </c>
      <c r="N100" s="25">
        <v>13653.09701</v>
      </c>
      <c r="O100" s="25">
        <v>12137.96091</v>
      </c>
      <c r="P100" s="25">
        <v>2922.209213</v>
      </c>
      <c r="Q100" s="25">
        <v>22459.07556</v>
      </c>
      <c r="R100" s="18"/>
      <c r="S100" s="25">
        <v>11154.00175</v>
      </c>
      <c r="T100" s="25">
        <v>10142.06027</v>
      </c>
      <c r="U100" s="25">
        <v>2713.409729</v>
      </c>
      <c r="V100" s="25">
        <v>19267.78689</v>
      </c>
      <c r="W100" s="25">
        <v>2499.095255</v>
      </c>
      <c r="X100" s="25">
        <v>1995.900637</v>
      </c>
      <c r="Y100" s="25">
        <v>208.7994835</v>
      </c>
      <c r="Z100" s="25">
        <v>3191.288675</v>
      </c>
    </row>
    <row r="101">
      <c r="A101" s="28"/>
      <c r="B101" s="19">
        <v>40643.0</v>
      </c>
      <c r="C101" s="20">
        <v>15.0</v>
      </c>
      <c r="D101" s="26">
        <v>100.0</v>
      </c>
      <c r="E101" s="9">
        <f t="shared" si="14"/>
        <v>7056.6</v>
      </c>
      <c r="F101" s="9">
        <f t="shared" si="12"/>
        <v>0.1612903226</v>
      </c>
      <c r="G101" s="22">
        <f t="shared" si="13"/>
        <v>7148.823725</v>
      </c>
      <c r="H101" s="8"/>
      <c r="I101" s="9">
        <f t="shared" si="2"/>
        <v>15</v>
      </c>
      <c r="J101" s="8"/>
      <c r="K101" s="9" t="str">
        <f t="shared" si="3"/>
        <v/>
      </c>
      <c r="L101" s="9">
        <f t="shared" si="5"/>
        <v>43643.27869</v>
      </c>
      <c r="M101" s="27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>
      <c r="A102" s="28"/>
      <c r="B102" s="19">
        <v>40644.0</v>
      </c>
      <c r="C102" s="20">
        <v>15.0</v>
      </c>
      <c r="D102" s="26">
        <v>101.0</v>
      </c>
      <c r="E102" s="9">
        <f t="shared" si="14"/>
        <v>7056.6</v>
      </c>
      <c r="F102" s="9">
        <f t="shared" si="12"/>
        <v>0.1290322581</v>
      </c>
      <c r="G102" s="22">
        <f t="shared" si="13"/>
        <v>7130.37898</v>
      </c>
      <c r="H102" s="8"/>
      <c r="I102" s="9">
        <f t="shared" si="2"/>
        <v>15</v>
      </c>
      <c r="J102" s="8"/>
      <c r="K102" s="9" t="str">
        <f t="shared" si="3"/>
        <v/>
      </c>
      <c r="L102" s="9">
        <f t="shared" si="5"/>
        <v>43643.27869</v>
      </c>
      <c r="M102" s="27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>
      <c r="A103" s="28"/>
      <c r="B103" s="19">
        <v>40645.0</v>
      </c>
      <c r="C103" s="20">
        <v>15.0</v>
      </c>
      <c r="D103" s="26">
        <v>102.0</v>
      </c>
      <c r="E103" s="9">
        <f t="shared" si="14"/>
        <v>7056.6</v>
      </c>
      <c r="F103" s="9">
        <f t="shared" si="12"/>
        <v>0.09677419355</v>
      </c>
      <c r="G103" s="22">
        <f t="shared" si="13"/>
        <v>7111.934235</v>
      </c>
      <c r="H103" s="8"/>
      <c r="I103" s="9">
        <f t="shared" si="2"/>
        <v>15</v>
      </c>
      <c r="J103" s="8"/>
      <c r="K103" s="9" t="str">
        <f t="shared" si="3"/>
        <v/>
      </c>
      <c r="L103" s="9">
        <f t="shared" si="5"/>
        <v>43643.27869</v>
      </c>
      <c r="M103" s="27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>
      <c r="A104" s="28"/>
      <c r="B104" s="19">
        <v>40646.0</v>
      </c>
      <c r="C104" s="20">
        <v>15.0</v>
      </c>
      <c r="D104" s="26">
        <v>103.0</v>
      </c>
      <c r="E104" s="9">
        <f t="shared" si="14"/>
        <v>7056.6</v>
      </c>
      <c r="F104" s="9">
        <f t="shared" si="12"/>
        <v>0.06451612903</v>
      </c>
      <c r="G104" s="22">
        <f t="shared" si="13"/>
        <v>7093.48949</v>
      </c>
      <c r="H104" s="8"/>
      <c r="I104" s="9">
        <f t="shared" si="2"/>
        <v>15</v>
      </c>
      <c r="J104" s="8"/>
      <c r="K104" s="9" t="str">
        <f t="shared" si="3"/>
        <v/>
      </c>
      <c r="L104" s="9">
        <f t="shared" si="5"/>
        <v>43643.27869</v>
      </c>
      <c r="M104" s="27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>
      <c r="A105" s="28"/>
      <c r="B105" s="19">
        <v>40647.0</v>
      </c>
      <c r="C105" s="20">
        <v>15.0</v>
      </c>
      <c r="D105" s="26">
        <v>104.0</v>
      </c>
      <c r="E105" s="9">
        <f t="shared" si="14"/>
        <v>7056.6</v>
      </c>
      <c r="F105" s="9">
        <f t="shared" si="12"/>
        <v>0.03225806452</v>
      </c>
      <c r="G105" s="22">
        <f t="shared" si="13"/>
        <v>7075.044745</v>
      </c>
      <c r="H105" s="8"/>
      <c r="I105" s="9">
        <f t="shared" si="2"/>
        <v>15</v>
      </c>
      <c r="J105" s="8"/>
      <c r="K105" s="9" t="str">
        <f t="shared" si="3"/>
        <v/>
      </c>
      <c r="L105" s="9">
        <f t="shared" si="5"/>
        <v>43643.27869</v>
      </c>
      <c r="M105" s="27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>
      <c r="A106" s="28"/>
      <c r="B106" s="19">
        <v>40648.0</v>
      </c>
      <c r="C106" s="20">
        <v>15.0</v>
      </c>
      <c r="D106" s="26">
        <v>105.0</v>
      </c>
      <c r="E106" s="9">
        <f t="shared" si="14"/>
        <v>7056.6</v>
      </c>
      <c r="F106" s="9">
        <f t="shared" ref="F106:F136" si="15">abs((D106-135)/(135-105))</f>
        <v>1</v>
      </c>
      <c r="G106" s="22">
        <f>E106</f>
        <v>7056.6</v>
      </c>
      <c r="H106" s="8"/>
      <c r="I106" s="9">
        <f t="shared" si="2"/>
        <v>15</v>
      </c>
      <c r="J106" s="8"/>
      <c r="K106" s="9" t="str">
        <f t="shared" si="3"/>
        <v/>
      </c>
      <c r="L106" s="9">
        <f t="shared" si="5"/>
        <v>43643.27869</v>
      </c>
      <c r="M106" s="27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>
      <c r="A107" s="13"/>
      <c r="B107" s="19">
        <v>40649.0</v>
      </c>
      <c r="C107" s="20">
        <v>16.0</v>
      </c>
      <c r="D107" s="26">
        <v>106.0</v>
      </c>
      <c r="E107" s="9">
        <f t="shared" si="14"/>
        <v>7056.6</v>
      </c>
      <c r="F107" s="9">
        <f t="shared" si="15"/>
        <v>0.9666666667</v>
      </c>
      <c r="G107" s="22">
        <f t="shared" ref="G107:G136" si="16">E92*F107+(1-F107)*E122</f>
        <v>7057.20043</v>
      </c>
      <c r="H107" s="8"/>
      <c r="I107" s="9">
        <f t="shared" si="2"/>
        <v>16</v>
      </c>
      <c r="J107" s="22">
        <f>SUM(G107:G113)</f>
        <v>49413.01204</v>
      </c>
      <c r="K107" s="22">
        <f t="shared" si="3"/>
        <v>49413.01204</v>
      </c>
      <c r="L107" s="9">
        <f t="shared" si="5"/>
        <v>43643.27869</v>
      </c>
      <c r="M107" s="24">
        <v>43643.27869</v>
      </c>
      <c r="N107" s="25">
        <v>13446.69591</v>
      </c>
      <c r="O107" s="25">
        <v>11345.29748</v>
      </c>
      <c r="P107" s="25">
        <v>2955.509387</v>
      </c>
      <c r="Q107" s="25">
        <v>21026.93296</v>
      </c>
      <c r="R107" s="18"/>
      <c r="S107" s="25">
        <v>11552.26217</v>
      </c>
      <c r="T107" s="25">
        <v>10600.78945</v>
      </c>
      <c r="U107" s="25">
        <v>2547.822598</v>
      </c>
      <c r="V107" s="25">
        <v>18175.09107</v>
      </c>
      <c r="W107" s="25">
        <v>1894.43374</v>
      </c>
      <c r="X107" s="25">
        <v>744.5080289</v>
      </c>
      <c r="Y107" s="25">
        <v>407.6867887</v>
      </c>
      <c r="Z107" s="25">
        <v>2851.841887</v>
      </c>
    </row>
    <row r="108">
      <c r="A108" s="13"/>
      <c r="B108" s="19">
        <v>40650.0</v>
      </c>
      <c r="C108" s="20">
        <v>16.0</v>
      </c>
      <c r="D108" s="26">
        <v>107.0</v>
      </c>
      <c r="E108" s="9">
        <f t="shared" si="14"/>
        <v>7056.6</v>
      </c>
      <c r="F108" s="9">
        <f t="shared" si="15"/>
        <v>0.9333333333</v>
      </c>
      <c r="G108" s="22">
        <f t="shared" si="16"/>
        <v>7057.80086</v>
      </c>
      <c r="H108" s="8"/>
      <c r="I108" s="9">
        <f t="shared" si="2"/>
        <v>16</v>
      </c>
      <c r="J108" s="8"/>
      <c r="K108" s="9" t="str">
        <f t="shared" si="3"/>
        <v/>
      </c>
      <c r="L108" s="9">
        <f t="shared" si="5"/>
        <v>43643.27869</v>
      </c>
      <c r="M108" s="27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>
      <c r="A109" s="28"/>
      <c r="B109" s="19">
        <v>40651.0</v>
      </c>
      <c r="C109" s="20">
        <v>16.0</v>
      </c>
      <c r="D109" s="26">
        <v>108.0</v>
      </c>
      <c r="E109" s="9">
        <f t="shared" si="14"/>
        <v>7056.6</v>
      </c>
      <c r="F109" s="9">
        <f t="shared" si="15"/>
        <v>0.9</v>
      </c>
      <c r="G109" s="22">
        <f t="shared" si="16"/>
        <v>7058.40129</v>
      </c>
      <c r="H109" s="8"/>
      <c r="I109" s="9">
        <f t="shared" si="2"/>
        <v>16</v>
      </c>
      <c r="J109" s="8"/>
      <c r="K109" s="9" t="str">
        <f t="shared" si="3"/>
        <v/>
      </c>
      <c r="L109" s="9">
        <f t="shared" si="5"/>
        <v>43643.27869</v>
      </c>
      <c r="M109" s="27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>
      <c r="A110" s="28"/>
      <c r="B110" s="19">
        <v>40652.0</v>
      </c>
      <c r="C110" s="20">
        <v>16.0</v>
      </c>
      <c r="D110" s="26">
        <v>109.0</v>
      </c>
      <c r="E110" s="9">
        <f t="shared" si="14"/>
        <v>7056.6</v>
      </c>
      <c r="F110" s="9">
        <f t="shared" si="15"/>
        <v>0.8666666667</v>
      </c>
      <c r="G110" s="22">
        <f t="shared" si="16"/>
        <v>7059.00172</v>
      </c>
      <c r="H110" s="8"/>
      <c r="I110" s="9">
        <f t="shared" si="2"/>
        <v>16</v>
      </c>
      <c r="J110" s="8"/>
      <c r="K110" s="9" t="str">
        <f t="shared" si="3"/>
        <v/>
      </c>
      <c r="L110" s="9">
        <f t="shared" si="5"/>
        <v>43643.27869</v>
      </c>
      <c r="M110" s="27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>
      <c r="A111" s="28"/>
      <c r="B111" s="19">
        <v>40653.0</v>
      </c>
      <c r="C111" s="20">
        <v>16.0</v>
      </c>
      <c r="D111" s="26">
        <v>110.0</v>
      </c>
      <c r="E111" s="9">
        <f t="shared" si="14"/>
        <v>7056.6</v>
      </c>
      <c r="F111" s="9">
        <f t="shared" si="15"/>
        <v>0.8333333333</v>
      </c>
      <c r="G111" s="22">
        <f t="shared" si="16"/>
        <v>7059.602151</v>
      </c>
      <c r="H111" s="8"/>
      <c r="I111" s="9">
        <f t="shared" si="2"/>
        <v>16</v>
      </c>
      <c r="J111" s="8"/>
      <c r="K111" s="9" t="str">
        <f t="shared" si="3"/>
        <v/>
      </c>
      <c r="L111" s="9">
        <f t="shared" si="5"/>
        <v>43643.27869</v>
      </c>
      <c r="M111" s="27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>
      <c r="A112" s="28"/>
      <c r="B112" s="19">
        <v>40654.0</v>
      </c>
      <c r="C112" s="20">
        <v>16.0</v>
      </c>
      <c r="D112" s="26">
        <v>111.0</v>
      </c>
      <c r="E112" s="9">
        <f t="shared" si="14"/>
        <v>7056.6</v>
      </c>
      <c r="F112" s="9">
        <f t="shared" si="15"/>
        <v>0.8</v>
      </c>
      <c r="G112" s="22">
        <f t="shared" si="16"/>
        <v>7060.202581</v>
      </c>
      <c r="H112" s="8"/>
      <c r="I112" s="9">
        <f t="shared" si="2"/>
        <v>16</v>
      </c>
      <c r="J112" s="8"/>
      <c r="K112" s="9" t="str">
        <f t="shared" si="3"/>
        <v/>
      </c>
      <c r="L112" s="9">
        <f t="shared" si="5"/>
        <v>43643.27869</v>
      </c>
      <c r="M112" s="27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>
      <c r="A113" s="28"/>
      <c r="B113" s="19">
        <v>40655.0</v>
      </c>
      <c r="C113" s="20">
        <v>16.0</v>
      </c>
      <c r="D113" s="26">
        <v>112.0</v>
      </c>
      <c r="E113" s="9">
        <f t="shared" si="14"/>
        <v>7056.6</v>
      </c>
      <c r="F113" s="9">
        <f t="shared" si="15"/>
        <v>0.7666666667</v>
      </c>
      <c r="G113" s="22">
        <f t="shared" si="16"/>
        <v>7060.803011</v>
      </c>
      <c r="H113" s="8"/>
      <c r="I113" s="9">
        <f t="shared" si="2"/>
        <v>16</v>
      </c>
      <c r="J113" s="8"/>
      <c r="K113" s="9" t="str">
        <f t="shared" si="3"/>
        <v/>
      </c>
      <c r="L113" s="9">
        <f t="shared" si="5"/>
        <v>43643.27869</v>
      </c>
      <c r="M113" s="27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>
      <c r="A114" s="28"/>
      <c r="B114" s="19">
        <v>40656.0</v>
      </c>
      <c r="C114" s="20">
        <v>17.0</v>
      </c>
      <c r="D114" s="26">
        <v>113.0</v>
      </c>
      <c r="E114" s="9">
        <f t="shared" si="14"/>
        <v>7056.6</v>
      </c>
      <c r="F114" s="9">
        <f t="shared" si="15"/>
        <v>0.7333333333</v>
      </c>
      <c r="G114" s="22">
        <f t="shared" si="16"/>
        <v>7061.403441</v>
      </c>
      <c r="H114" s="8"/>
      <c r="I114" s="9">
        <f t="shared" si="2"/>
        <v>17</v>
      </c>
      <c r="J114" s="22">
        <f>SUM(G114:G120)</f>
        <v>49442.43312</v>
      </c>
      <c r="K114" s="22">
        <f t="shared" si="3"/>
        <v>49442.43312</v>
      </c>
      <c r="L114" s="9">
        <f t="shared" si="5"/>
        <v>43643.27869</v>
      </c>
      <c r="M114" s="24">
        <v>43643.27869</v>
      </c>
      <c r="N114" s="25">
        <v>12818.91152</v>
      </c>
      <c r="O114" s="25">
        <v>11176.81892</v>
      </c>
      <c r="P114" s="25">
        <v>3038.1877</v>
      </c>
      <c r="Q114" s="25">
        <v>22231.68722</v>
      </c>
      <c r="R114" s="18"/>
      <c r="S114" s="25">
        <v>11816.61997</v>
      </c>
      <c r="T114" s="25">
        <v>9875.853528</v>
      </c>
      <c r="U114" s="25">
        <v>2761.197043</v>
      </c>
      <c r="V114" s="25">
        <v>19648.74808</v>
      </c>
      <c r="W114" s="25">
        <v>1002.291555</v>
      </c>
      <c r="X114" s="25">
        <v>1300.965394</v>
      </c>
      <c r="Y114" s="25">
        <v>276.990657</v>
      </c>
      <c r="Z114" s="25">
        <v>2582.939143</v>
      </c>
    </row>
    <row r="115">
      <c r="A115" s="28"/>
      <c r="B115" s="19">
        <v>40657.0</v>
      </c>
      <c r="C115" s="20">
        <v>17.0</v>
      </c>
      <c r="D115" s="26">
        <v>114.0</v>
      </c>
      <c r="E115" s="9">
        <f t="shared" si="14"/>
        <v>7056.6</v>
      </c>
      <c r="F115" s="9">
        <f t="shared" si="15"/>
        <v>0.7</v>
      </c>
      <c r="G115" s="22">
        <f t="shared" si="16"/>
        <v>7062.003871</v>
      </c>
      <c r="H115" s="8"/>
      <c r="I115" s="9">
        <f t="shared" si="2"/>
        <v>17</v>
      </c>
      <c r="J115" s="8"/>
      <c r="K115" s="9" t="str">
        <f t="shared" si="3"/>
        <v/>
      </c>
      <c r="L115" s="9">
        <f t="shared" si="5"/>
        <v>43643.27869</v>
      </c>
      <c r="M115" s="27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>
      <c r="A116" s="28"/>
      <c r="B116" s="19">
        <v>40658.0</v>
      </c>
      <c r="C116" s="20">
        <v>17.0</v>
      </c>
      <c r="D116" s="26">
        <v>115.0</v>
      </c>
      <c r="E116" s="9">
        <f t="shared" si="14"/>
        <v>7056.6</v>
      </c>
      <c r="F116" s="9">
        <f t="shared" si="15"/>
        <v>0.6666666667</v>
      </c>
      <c r="G116" s="22">
        <f t="shared" si="16"/>
        <v>7062.604301</v>
      </c>
      <c r="H116" s="8"/>
      <c r="I116" s="9">
        <f t="shared" si="2"/>
        <v>17</v>
      </c>
      <c r="J116" s="8"/>
      <c r="K116" s="9" t="str">
        <f t="shared" si="3"/>
        <v/>
      </c>
      <c r="L116" s="9">
        <f t="shared" si="5"/>
        <v>43643.27869</v>
      </c>
      <c r="M116" s="27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>
      <c r="A117" s="28"/>
      <c r="B117" s="19">
        <v>40659.0</v>
      </c>
      <c r="C117" s="20">
        <v>17.0</v>
      </c>
      <c r="D117" s="26">
        <v>116.0</v>
      </c>
      <c r="E117" s="9">
        <f t="shared" si="14"/>
        <v>7056.6</v>
      </c>
      <c r="F117" s="9">
        <f t="shared" si="15"/>
        <v>0.6333333333</v>
      </c>
      <c r="G117" s="22">
        <f t="shared" si="16"/>
        <v>7063.204731</v>
      </c>
      <c r="H117" s="8"/>
      <c r="I117" s="9">
        <f t="shared" si="2"/>
        <v>17</v>
      </c>
      <c r="J117" s="8"/>
      <c r="K117" s="9" t="str">
        <f t="shared" si="3"/>
        <v/>
      </c>
      <c r="L117" s="9">
        <f t="shared" si="5"/>
        <v>43643.27869</v>
      </c>
      <c r="M117" s="27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>
      <c r="A118" s="28"/>
      <c r="B118" s="19">
        <v>40660.0</v>
      </c>
      <c r="C118" s="20">
        <v>17.0</v>
      </c>
      <c r="D118" s="26">
        <v>117.0</v>
      </c>
      <c r="E118" s="9">
        <f t="shared" si="14"/>
        <v>7056.6</v>
      </c>
      <c r="F118" s="9">
        <f t="shared" si="15"/>
        <v>0.6</v>
      </c>
      <c r="G118" s="22">
        <f t="shared" si="16"/>
        <v>7063.805161</v>
      </c>
      <c r="H118" s="8"/>
      <c r="I118" s="9">
        <f t="shared" si="2"/>
        <v>17</v>
      </c>
      <c r="J118" s="8"/>
      <c r="K118" s="9" t="str">
        <f t="shared" si="3"/>
        <v/>
      </c>
      <c r="L118" s="9">
        <f t="shared" si="5"/>
        <v>43643.27869</v>
      </c>
      <c r="M118" s="27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>
      <c r="A119" s="28"/>
      <c r="B119" s="19">
        <v>40661.0</v>
      </c>
      <c r="C119" s="20">
        <v>17.0</v>
      </c>
      <c r="D119" s="26">
        <v>118.0</v>
      </c>
      <c r="E119" s="9">
        <f t="shared" si="14"/>
        <v>7056.6</v>
      </c>
      <c r="F119" s="9">
        <f t="shared" si="15"/>
        <v>0.5666666667</v>
      </c>
      <c r="G119" s="22">
        <f t="shared" si="16"/>
        <v>7064.405591</v>
      </c>
      <c r="H119" s="8"/>
      <c r="I119" s="9">
        <f t="shared" si="2"/>
        <v>17</v>
      </c>
      <c r="J119" s="8"/>
      <c r="K119" s="9" t="str">
        <f t="shared" si="3"/>
        <v/>
      </c>
      <c r="L119" s="9">
        <f t="shared" si="5"/>
        <v>43643.27869</v>
      </c>
      <c r="M119" s="27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>
      <c r="A120" s="28"/>
      <c r="B120" s="19">
        <v>40662.0</v>
      </c>
      <c r="C120" s="20">
        <v>17.0</v>
      </c>
      <c r="D120" s="26">
        <v>119.0</v>
      </c>
      <c r="E120" s="9">
        <f t="shared" si="14"/>
        <v>7056.6</v>
      </c>
      <c r="F120" s="9">
        <f t="shared" si="15"/>
        <v>0.5333333333</v>
      </c>
      <c r="G120" s="22">
        <f t="shared" si="16"/>
        <v>7065.006022</v>
      </c>
      <c r="H120" s="8"/>
      <c r="I120" s="9">
        <f t="shared" si="2"/>
        <v>17</v>
      </c>
      <c r="J120" s="8"/>
      <c r="K120" s="9" t="str">
        <f t="shared" si="3"/>
        <v/>
      </c>
      <c r="L120" s="9">
        <f t="shared" si="5"/>
        <v>43643.27869</v>
      </c>
      <c r="M120" s="27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>
      <c r="A121" s="28"/>
      <c r="B121" s="19">
        <v>40663.0</v>
      </c>
      <c r="C121" s="20">
        <v>18.0</v>
      </c>
      <c r="D121" s="26">
        <v>120.0</v>
      </c>
      <c r="E121" s="9">
        <f t="shared" si="14"/>
        <v>7056.6</v>
      </c>
      <c r="F121" s="9">
        <f t="shared" si="15"/>
        <v>0.5</v>
      </c>
      <c r="G121" s="22">
        <f t="shared" si="16"/>
        <v>7065.606452</v>
      </c>
      <c r="H121" s="8"/>
      <c r="I121" s="9">
        <f t="shared" si="2"/>
        <v>18</v>
      </c>
      <c r="J121" s="22">
        <f>SUM(G121:G127)</f>
        <v>49471.85419</v>
      </c>
      <c r="K121" s="22">
        <f t="shared" si="3"/>
        <v>49471.85419</v>
      </c>
      <c r="L121" s="9">
        <f t="shared" si="5"/>
        <v>43643.27869</v>
      </c>
      <c r="M121" s="24">
        <v>43643.27869</v>
      </c>
      <c r="N121" s="25">
        <v>13607.0122</v>
      </c>
      <c r="O121" s="25">
        <v>12312.34468</v>
      </c>
      <c r="P121" s="25">
        <v>2943.474337</v>
      </c>
      <c r="Q121" s="25">
        <v>22229.98896</v>
      </c>
      <c r="R121" s="18"/>
      <c r="S121" s="25">
        <v>11640.68755</v>
      </c>
      <c r="T121" s="25">
        <v>10327.4754</v>
      </c>
      <c r="U121" s="25">
        <v>2553.353834</v>
      </c>
      <c r="V121" s="25">
        <v>19333.58041</v>
      </c>
      <c r="W121" s="25">
        <v>1966.324651</v>
      </c>
      <c r="X121" s="25">
        <v>1984.869281</v>
      </c>
      <c r="Y121" s="25">
        <v>390.1205027</v>
      </c>
      <c r="Z121" s="25">
        <v>2896.408551</v>
      </c>
    </row>
    <row r="122">
      <c r="A122" s="28"/>
      <c r="B122" s="19">
        <v>40664.0</v>
      </c>
      <c r="C122" s="20">
        <v>18.0</v>
      </c>
      <c r="D122" s="26">
        <v>121.0</v>
      </c>
      <c r="E122" s="9">
        <f>A124/31</f>
        <v>7074.612903</v>
      </c>
      <c r="F122" s="9">
        <f t="shared" si="15"/>
        <v>0.4666666667</v>
      </c>
      <c r="G122" s="22">
        <f t="shared" si="16"/>
        <v>7066.206882</v>
      </c>
      <c r="H122" s="8"/>
      <c r="I122" s="9">
        <f t="shared" si="2"/>
        <v>18</v>
      </c>
      <c r="J122" s="8"/>
      <c r="K122" s="9" t="str">
        <f t="shared" si="3"/>
        <v/>
      </c>
      <c r="L122" s="9">
        <f t="shared" si="5"/>
        <v>43643.27869</v>
      </c>
      <c r="M122" s="27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>
      <c r="A123" s="13" t="s">
        <v>68</v>
      </c>
      <c r="B123" s="19">
        <v>40665.0</v>
      </c>
      <c r="C123" s="20">
        <v>18.0</v>
      </c>
      <c r="D123" s="26">
        <v>122.0</v>
      </c>
      <c r="E123" s="9">
        <f t="shared" ref="E123:E152" si="17">E122</f>
        <v>7074.612903</v>
      </c>
      <c r="F123" s="9">
        <f t="shared" si="15"/>
        <v>0.4333333333</v>
      </c>
      <c r="G123" s="22">
        <f t="shared" si="16"/>
        <v>7066.807312</v>
      </c>
      <c r="H123" s="8"/>
      <c r="I123" s="9">
        <f t="shared" si="2"/>
        <v>18</v>
      </c>
      <c r="J123" s="8"/>
      <c r="K123" s="9" t="str">
        <f t="shared" si="3"/>
        <v/>
      </c>
      <c r="L123" s="9">
        <f t="shared" si="5"/>
        <v>43643.27869</v>
      </c>
      <c r="M123" s="27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>
      <c r="A124" s="20">
        <v>219313.0</v>
      </c>
      <c r="B124" s="19">
        <v>40666.0</v>
      </c>
      <c r="C124" s="20">
        <v>18.0</v>
      </c>
      <c r="D124" s="26">
        <v>123.0</v>
      </c>
      <c r="E124" s="9">
        <f t="shared" si="17"/>
        <v>7074.612903</v>
      </c>
      <c r="F124" s="9">
        <f t="shared" si="15"/>
        <v>0.4</v>
      </c>
      <c r="G124" s="22">
        <f t="shared" si="16"/>
        <v>7067.407742</v>
      </c>
      <c r="H124" s="8"/>
      <c r="I124" s="9">
        <f t="shared" si="2"/>
        <v>18</v>
      </c>
      <c r="J124" s="8"/>
      <c r="K124" s="9" t="str">
        <f t="shared" si="3"/>
        <v/>
      </c>
      <c r="L124" s="9">
        <f t="shared" si="5"/>
        <v>43643.27869</v>
      </c>
      <c r="M124" s="27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>
      <c r="A125" s="28"/>
      <c r="B125" s="19">
        <v>40667.0</v>
      </c>
      <c r="C125" s="20">
        <v>18.0</v>
      </c>
      <c r="D125" s="26">
        <v>124.0</v>
      </c>
      <c r="E125" s="9">
        <f t="shared" si="17"/>
        <v>7074.612903</v>
      </c>
      <c r="F125" s="9">
        <f t="shared" si="15"/>
        <v>0.3666666667</v>
      </c>
      <c r="G125" s="22">
        <f t="shared" si="16"/>
        <v>7068.008172</v>
      </c>
      <c r="H125" s="8"/>
      <c r="I125" s="9">
        <f t="shared" si="2"/>
        <v>18</v>
      </c>
      <c r="J125" s="8"/>
      <c r="K125" s="9" t="str">
        <f t="shared" si="3"/>
        <v/>
      </c>
      <c r="L125" s="9">
        <f t="shared" si="5"/>
        <v>43643.27869</v>
      </c>
      <c r="M125" s="27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>
      <c r="A126" s="28"/>
      <c r="B126" s="19">
        <v>40668.0</v>
      </c>
      <c r="C126" s="20">
        <v>18.0</v>
      </c>
      <c r="D126" s="26">
        <v>125.0</v>
      </c>
      <c r="E126" s="9">
        <f t="shared" si="17"/>
        <v>7074.612903</v>
      </c>
      <c r="F126" s="9">
        <f t="shared" si="15"/>
        <v>0.3333333333</v>
      </c>
      <c r="G126" s="22">
        <f t="shared" si="16"/>
        <v>7068.608602</v>
      </c>
      <c r="H126" s="8"/>
      <c r="I126" s="9">
        <f t="shared" si="2"/>
        <v>18</v>
      </c>
      <c r="J126" s="8"/>
      <c r="K126" s="9" t="str">
        <f t="shared" si="3"/>
        <v/>
      </c>
      <c r="L126" s="9">
        <f t="shared" si="5"/>
        <v>43643.27869</v>
      </c>
      <c r="M126" s="27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>
      <c r="A127" s="28"/>
      <c r="B127" s="19">
        <v>40669.0</v>
      </c>
      <c r="C127" s="20">
        <v>18.0</v>
      </c>
      <c r="D127" s="26">
        <v>126.0</v>
      </c>
      <c r="E127" s="9">
        <f t="shared" si="17"/>
        <v>7074.612903</v>
      </c>
      <c r="F127" s="9">
        <f t="shared" si="15"/>
        <v>0.3</v>
      </c>
      <c r="G127" s="22">
        <f t="shared" si="16"/>
        <v>7069.209032</v>
      </c>
      <c r="H127" s="8"/>
      <c r="I127" s="9">
        <f t="shared" si="2"/>
        <v>18</v>
      </c>
      <c r="J127" s="8"/>
      <c r="K127" s="9" t="str">
        <f t="shared" si="3"/>
        <v/>
      </c>
      <c r="L127" s="9">
        <f t="shared" si="5"/>
        <v>43643.27869</v>
      </c>
      <c r="M127" s="27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>
      <c r="A128" s="28"/>
      <c r="B128" s="19">
        <v>40670.0</v>
      </c>
      <c r="C128" s="20">
        <v>19.0</v>
      </c>
      <c r="D128" s="26">
        <v>127.0</v>
      </c>
      <c r="E128" s="9">
        <f t="shared" si="17"/>
        <v>7074.612903</v>
      </c>
      <c r="F128" s="9">
        <f t="shared" si="15"/>
        <v>0.2666666667</v>
      </c>
      <c r="G128" s="22">
        <f t="shared" si="16"/>
        <v>7069.809462</v>
      </c>
      <c r="H128" s="8"/>
      <c r="I128" s="9">
        <f t="shared" si="2"/>
        <v>19</v>
      </c>
      <c r="J128" s="22">
        <f>SUM(G128:G134)</f>
        <v>49501.27527</v>
      </c>
      <c r="K128" s="22">
        <f t="shared" si="3"/>
        <v>49501.27527</v>
      </c>
      <c r="L128" s="9">
        <f t="shared" si="5"/>
        <v>43643.27869</v>
      </c>
      <c r="M128" s="24">
        <v>43643.27869</v>
      </c>
      <c r="N128" s="25">
        <v>12798.43431</v>
      </c>
      <c r="O128" s="25">
        <v>12035.77698</v>
      </c>
      <c r="P128" s="25">
        <v>2865.704093</v>
      </c>
      <c r="Q128" s="25">
        <v>20878.46957</v>
      </c>
      <c r="R128" s="18"/>
      <c r="S128" s="25">
        <v>11889.9639</v>
      </c>
      <c r="T128" s="25">
        <v>10547.89218</v>
      </c>
      <c r="U128" s="25">
        <v>2585.070888</v>
      </c>
      <c r="V128" s="25">
        <v>19873.92649</v>
      </c>
      <c r="W128" s="25">
        <v>908.4704128</v>
      </c>
      <c r="X128" s="25">
        <v>1487.884807</v>
      </c>
      <c r="Y128" s="25">
        <v>280.6332045</v>
      </c>
      <c r="Z128" s="25">
        <v>1004.543079</v>
      </c>
    </row>
    <row r="129">
      <c r="A129" s="28"/>
      <c r="B129" s="19">
        <v>40671.0</v>
      </c>
      <c r="C129" s="20">
        <v>19.0</v>
      </c>
      <c r="D129" s="26">
        <v>128.0</v>
      </c>
      <c r="E129" s="9">
        <f t="shared" si="17"/>
        <v>7074.612903</v>
      </c>
      <c r="F129" s="9">
        <f t="shared" si="15"/>
        <v>0.2333333333</v>
      </c>
      <c r="G129" s="22">
        <f t="shared" si="16"/>
        <v>7070.409892</v>
      </c>
      <c r="H129" s="8"/>
      <c r="I129" s="9">
        <f t="shared" si="2"/>
        <v>19</v>
      </c>
      <c r="J129" s="8"/>
      <c r="K129" s="9" t="str">
        <f t="shared" si="3"/>
        <v/>
      </c>
      <c r="L129" s="9">
        <f t="shared" si="5"/>
        <v>43643.27869</v>
      </c>
      <c r="M129" s="27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>
      <c r="A130" s="28"/>
      <c r="B130" s="19">
        <v>40672.0</v>
      </c>
      <c r="C130" s="20">
        <v>19.0</v>
      </c>
      <c r="D130" s="26">
        <v>129.0</v>
      </c>
      <c r="E130" s="9">
        <f t="shared" si="17"/>
        <v>7074.612903</v>
      </c>
      <c r="F130" s="9">
        <f t="shared" si="15"/>
        <v>0.2</v>
      </c>
      <c r="G130" s="22">
        <f t="shared" si="16"/>
        <v>7071.010323</v>
      </c>
      <c r="H130" s="8"/>
      <c r="I130" s="9">
        <f t="shared" si="2"/>
        <v>19</v>
      </c>
      <c r="J130" s="8"/>
      <c r="K130" s="9" t="str">
        <f t="shared" si="3"/>
        <v/>
      </c>
      <c r="L130" s="9">
        <f t="shared" si="5"/>
        <v>43643.27869</v>
      </c>
      <c r="M130" s="27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>
      <c r="A131" s="28"/>
      <c r="B131" s="19">
        <v>40673.0</v>
      </c>
      <c r="C131" s="20">
        <v>19.0</v>
      </c>
      <c r="D131" s="26">
        <v>130.0</v>
      </c>
      <c r="E131" s="9">
        <f t="shared" si="17"/>
        <v>7074.612903</v>
      </c>
      <c r="F131" s="9">
        <f t="shared" si="15"/>
        <v>0.1666666667</v>
      </c>
      <c r="G131" s="22">
        <f t="shared" si="16"/>
        <v>7071.610753</v>
      </c>
      <c r="H131" s="8"/>
      <c r="I131" s="9">
        <f t="shared" si="2"/>
        <v>19</v>
      </c>
      <c r="J131" s="8"/>
      <c r="K131" s="9" t="str">
        <f t="shared" si="3"/>
        <v/>
      </c>
      <c r="L131" s="9">
        <f t="shared" si="5"/>
        <v>43643.27869</v>
      </c>
      <c r="M131" s="27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>
      <c r="A132" s="28"/>
      <c r="B132" s="19">
        <v>40674.0</v>
      </c>
      <c r="C132" s="20">
        <v>19.0</v>
      </c>
      <c r="D132" s="26">
        <v>131.0</v>
      </c>
      <c r="E132" s="9">
        <f t="shared" si="17"/>
        <v>7074.612903</v>
      </c>
      <c r="F132" s="9">
        <f t="shared" si="15"/>
        <v>0.1333333333</v>
      </c>
      <c r="G132" s="22">
        <f t="shared" si="16"/>
        <v>7072.211183</v>
      </c>
      <c r="H132" s="8"/>
      <c r="I132" s="9">
        <f t="shared" si="2"/>
        <v>19</v>
      </c>
      <c r="J132" s="8"/>
      <c r="K132" s="9" t="str">
        <f t="shared" si="3"/>
        <v/>
      </c>
      <c r="L132" s="9">
        <f t="shared" si="5"/>
        <v>43643.27869</v>
      </c>
      <c r="M132" s="27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>
      <c r="A133" s="28"/>
      <c r="B133" s="19">
        <v>40675.0</v>
      </c>
      <c r="C133" s="20">
        <v>19.0</v>
      </c>
      <c r="D133" s="26">
        <v>132.0</v>
      </c>
      <c r="E133" s="9">
        <f t="shared" si="17"/>
        <v>7074.612903</v>
      </c>
      <c r="F133" s="9">
        <f t="shared" si="15"/>
        <v>0.1</v>
      </c>
      <c r="G133" s="22">
        <f t="shared" si="16"/>
        <v>7072.811613</v>
      </c>
      <c r="H133" s="8"/>
      <c r="I133" s="9">
        <f t="shared" si="2"/>
        <v>19</v>
      </c>
      <c r="J133" s="8"/>
      <c r="K133" s="9" t="str">
        <f t="shared" si="3"/>
        <v/>
      </c>
      <c r="L133" s="9">
        <f t="shared" si="5"/>
        <v>43643.27869</v>
      </c>
      <c r="M133" s="27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>
      <c r="A134" s="28"/>
      <c r="B134" s="19">
        <v>40676.0</v>
      </c>
      <c r="C134" s="20">
        <v>19.0</v>
      </c>
      <c r="D134" s="26">
        <v>133.0</v>
      </c>
      <c r="E134" s="9">
        <f t="shared" si="17"/>
        <v>7074.612903</v>
      </c>
      <c r="F134" s="9">
        <f t="shared" si="15"/>
        <v>0.06666666667</v>
      </c>
      <c r="G134" s="22">
        <f t="shared" si="16"/>
        <v>7073.412043</v>
      </c>
      <c r="H134" s="8"/>
      <c r="I134" s="9">
        <f t="shared" si="2"/>
        <v>19</v>
      </c>
      <c r="J134" s="8"/>
      <c r="K134" s="9" t="str">
        <f t="shared" si="3"/>
        <v/>
      </c>
      <c r="L134" s="9">
        <f t="shared" si="5"/>
        <v>43643.27869</v>
      </c>
      <c r="M134" s="27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>
      <c r="A135" s="28"/>
      <c r="B135" s="19">
        <v>40677.0</v>
      </c>
      <c r="C135" s="20">
        <v>20.0</v>
      </c>
      <c r="D135" s="26">
        <v>134.0</v>
      </c>
      <c r="E135" s="9">
        <f t="shared" si="17"/>
        <v>7074.612903</v>
      </c>
      <c r="F135" s="9">
        <f t="shared" si="15"/>
        <v>0.03333333333</v>
      </c>
      <c r="G135" s="22">
        <f t="shared" si="16"/>
        <v>7074.012473</v>
      </c>
      <c r="H135" s="8"/>
      <c r="I135" s="9">
        <f t="shared" si="2"/>
        <v>20</v>
      </c>
      <c r="J135" s="22">
        <f>SUM(G135:G141)</f>
        <v>49355.94171</v>
      </c>
      <c r="K135" s="22">
        <f t="shared" si="3"/>
        <v>49355.94171</v>
      </c>
      <c r="L135" s="9">
        <f t="shared" si="5"/>
        <v>43643.27869</v>
      </c>
      <c r="M135" s="24">
        <v>43643.27869</v>
      </c>
      <c r="N135" s="25">
        <v>12668.90426</v>
      </c>
      <c r="O135" s="25">
        <v>11124.86928</v>
      </c>
      <c r="P135" s="25">
        <v>2914.060567</v>
      </c>
      <c r="Q135" s="25">
        <v>22338.65186</v>
      </c>
      <c r="R135" s="18"/>
      <c r="S135" s="25">
        <v>11609.46634</v>
      </c>
      <c r="T135" s="25">
        <v>10807.17072</v>
      </c>
      <c r="U135" s="25">
        <v>2742.995066</v>
      </c>
      <c r="V135" s="25">
        <v>18611.3529</v>
      </c>
      <c r="W135" s="25">
        <v>1059.437921</v>
      </c>
      <c r="X135" s="25">
        <v>317.69856</v>
      </c>
      <c r="Y135" s="25">
        <v>171.0655017</v>
      </c>
      <c r="Z135" s="25">
        <v>3727.298959</v>
      </c>
    </row>
    <row r="136">
      <c r="A136" s="28"/>
      <c r="B136" s="19">
        <v>40678.0</v>
      </c>
      <c r="C136" s="20">
        <v>20.0</v>
      </c>
      <c r="D136" s="26">
        <v>135.0</v>
      </c>
      <c r="E136" s="9">
        <f t="shared" si="17"/>
        <v>7074.612903</v>
      </c>
      <c r="F136" s="9">
        <f t="shared" si="15"/>
        <v>0</v>
      </c>
      <c r="G136" s="22">
        <f t="shared" si="16"/>
        <v>7074.612903</v>
      </c>
      <c r="H136" s="8"/>
      <c r="I136" s="9">
        <f t="shared" si="2"/>
        <v>20</v>
      </c>
      <c r="J136" s="8"/>
      <c r="K136" s="9" t="str">
        <f t="shared" si="3"/>
        <v/>
      </c>
      <c r="L136" s="9">
        <f t="shared" si="5"/>
        <v>43643.27869</v>
      </c>
      <c r="M136" s="27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>
      <c r="A137" s="13"/>
      <c r="B137" s="19">
        <v>40679.0</v>
      </c>
      <c r="C137" s="20">
        <v>20.0</v>
      </c>
      <c r="D137" s="26">
        <v>136.0</v>
      </c>
      <c r="E137" s="9">
        <f t="shared" si="17"/>
        <v>7074.612903</v>
      </c>
      <c r="F137" s="9">
        <f t="shared" ref="F137:F167" si="18">abs((D137-166)/(135-166))</f>
        <v>0.9677419355</v>
      </c>
      <c r="G137" s="22">
        <f t="shared" ref="G137:G166" si="19">E122*F137+(1-F137)*E153</f>
        <v>7063.563025</v>
      </c>
      <c r="H137" s="8"/>
      <c r="I137" s="9">
        <f t="shared" si="2"/>
        <v>20</v>
      </c>
      <c r="J137" s="8"/>
      <c r="K137" s="9" t="str">
        <f t="shared" si="3"/>
        <v/>
      </c>
      <c r="L137" s="9">
        <f t="shared" si="5"/>
        <v>43643.27869</v>
      </c>
      <c r="M137" s="27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>
      <c r="A138" s="13"/>
      <c r="B138" s="19">
        <v>40680.0</v>
      </c>
      <c r="C138" s="20">
        <v>20.0</v>
      </c>
      <c r="D138" s="26">
        <v>137.0</v>
      </c>
      <c r="E138" s="9">
        <f t="shared" si="17"/>
        <v>7074.612903</v>
      </c>
      <c r="F138" s="9">
        <f t="shared" si="18"/>
        <v>0.935483871</v>
      </c>
      <c r="G138" s="22">
        <f t="shared" si="19"/>
        <v>7052.513146</v>
      </c>
      <c r="H138" s="8"/>
      <c r="I138" s="9">
        <f t="shared" si="2"/>
        <v>20</v>
      </c>
      <c r="J138" s="8"/>
      <c r="K138" s="9" t="str">
        <f t="shared" si="3"/>
        <v/>
      </c>
      <c r="L138" s="9">
        <f t="shared" si="5"/>
        <v>43643.27869</v>
      </c>
      <c r="M138" s="27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>
      <c r="A139" s="28"/>
      <c r="B139" s="19">
        <v>40681.0</v>
      </c>
      <c r="C139" s="20">
        <v>20.0</v>
      </c>
      <c r="D139" s="26">
        <v>138.0</v>
      </c>
      <c r="E139" s="9">
        <f t="shared" si="17"/>
        <v>7074.612903</v>
      </c>
      <c r="F139" s="9">
        <f t="shared" si="18"/>
        <v>0.9032258065</v>
      </c>
      <c r="G139" s="22">
        <f t="shared" si="19"/>
        <v>7041.463267</v>
      </c>
      <c r="H139" s="8"/>
      <c r="I139" s="9">
        <f t="shared" si="2"/>
        <v>20</v>
      </c>
      <c r="J139" s="8"/>
      <c r="K139" s="9" t="str">
        <f t="shared" si="3"/>
        <v/>
      </c>
      <c r="L139" s="9">
        <f t="shared" si="5"/>
        <v>43643.27869</v>
      </c>
      <c r="M139" s="27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>
      <c r="A140" s="28"/>
      <c r="B140" s="19">
        <v>40682.0</v>
      </c>
      <c r="C140" s="20">
        <v>20.0</v>
      </c>
      <c r="D140" s="26">
        <v>139.0</v>
      </c>
      <c r="E140" s="9">
        <f t="shared" si="17"/>
        <v>7074.612903</v>
      </c>
      <c r="F140" s="9">
        <f t="shared" si="18"/>
        <v>0.8709677419</v>
      </c>
      <c r="G140" s="22">
        <f t="shared" si="19"/>
        <v>7030.413389</v>
      </c>
      <c r="H140" s="8"/>
      <c r="I140" s="9">
        <f t="shared" si="2"/>
        <v>20</v>
      </c>
      <c r="J140" s="8"/>
      <c r="K140" s="9" t="str">
        <f t="shared" si="3"/>
        <v/>
      </c>
      <c r="L140" s="9">
        <f t="shared" si="5"/>
        <v>43643.27869</v>
      </c>
      <c r="M140" s="27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>
      <c r="A141" s="28"/>
      <c r="B141" s="19">
        <v>40683.0</v>
      </c>
      <c r="C141" s="20">
        <v>20.0</v>
      </c>
      <c r="D141" s="26">
        <v>140.0</v>
      </c>
      <c r="E141" s="9">
        <f t="shared" si="17"/>
        <v>7074.612903</v>
      </c>
      <c r="F141" s="9">
        <f t="shared" si="18"/>
        <v>0.8387096774</v>
      </c>
      <c r="G141" s="22">
        <f t="shared" si="19"/>
        <v>7019.36351</v>
      </c>
      <c r="H141" s="8"/>
      <c r="I141" s="9">
        <f t="shared" si="2"/>
        <v>20</v>
      </c>
      <c r="J141" s="8"/>
      <c r="K141" s="9" t="str">
        <f t="shared" si="3"/>
        <v/>
      </c>
      <c r="L141" s="9">
        <f t="shared" si="5"/>
        <v>43643.27869</v>
      </c>
      <c r="M141" s="27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>
      <c r="A142" s="28"/>
      <c r="B142" s="19">
        <v>40684.0</v>
      </c>
      <c r="C142" s="20">
        <v>21.0</v>
      </c>
      <c r="D142" s="26">
        <v>141.0</v>
      </c>
      <c r="E142" s="9">
        <f t="shared" si="17"/>
        <v>7074.612903</v>
      </c>
      <c r="F142" s="9">
        <f t="shared" si="18"/>
        <v>0.8064516129</v>
      </c>
      <c r="G142" s="22">
        <f t="shared" si="19"/>
        <v>7008.313632</v>
      </c>
      <c r="H142" s="8"/>
      <c r="I142" s="9">
        <f t="shared" si="2"/>
        <v>21</v>
      </c>
      <c r="J142" s="22">
        <f>SUM(G142:G148)</f>
        <v>48826.14797</v>
      </c>
      <c r="K142" s="22">
        <f t="shared" si="3"/>
        <v>48826.14797</v>
      </c>
      <c r="L142" s="9">
        <f t="shared" si="5"/>
        <v>43643.27869</v>
      </c>
      <c r="M142" s="24">
        <v>43643.27869</v>
      </c>
      <c r="N142" s="25">
        <v>13607.6527</v>
      </c>
      <c r="O142" s="25">
        <v>11716.87112</v>
      </c>
      <c r="P142" s="25">
        <v>2918.687958</v>
      </c>
      <c r="Q142" s="25">
        <v>22326.49279</v>
      </c>
      <c r="R142" s="18"/>
      <c r="S142" s="25">
        <v>11179.38407</v>
      </c>
      <c r="T142" s="25">
        <v>10677.94215</v>
      </c>
      <c r="U142" s="25">
        <v>2525.959407</v>
      </c>
      <c r="V142" s="25">
        <v>18686.43172</v>
      </c>
      <c r="W142" s="25">
        <v>2428.268629</v>
      </c>
      <c r="X142" s="25">
        <v>1038.928971</v>
      </c>
      <c r="Y142" s="25">
        <v>392.7285507</v>
      </c>
      <c r="Z142" s="25">
        <v>3640.061067</v>
      </c>
    </row>
    <row r="143">
      <c r="A143" s="28"/>
      <c r="B143" s="19">
        <v>40685.0</v>
      </c>
      <c r="C143" s="20">
        <v>21.0</v>
      </c>
      <c r="D143" s="26">
        <v>142.0</v>
      </c>
      <c r="E143" s="9">
        <f t="shared" si="17"/>
        <v>7074.612903</v>
      </c>
      <c r="F143" s="9">
        <f t="shared" si="18"/>
        <v>0.7741935484</v>
      </c>
      <c r="G143" s="22">
        <f t="shared" si="19"/>
        <v>6997.263753</v>
      </c>
      <c r="H143" s="8"/>
      <c r="I143" s="9">
        <f t="shared" si="2"/>
        <v>21</v>
      </c>
      <c r="J143" s="8"/>
      <c r="K143" s="9" t="str">
        <f t="shared" si="3"/>
        <v/>
      </c>
      <c r="L143" s="9">
        <f t="shared" si="5"/>
        <v>43643.27869</v>
      </c>
      <c r="M143" s="27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>
      <c r="A144" s="28"/>
      <c r="B144" s="19">
        <v>40686.0</v>
      </c>
      <c r="C144" s="20">
        <v>21.0</v>
      </c>
      <c r="D144" s="26">
        <v>143.0</v>
      </c>
      <c r="E144" s="9">
        <f t="shared" si="17"/>
        <v>7074.612903</v>
      </c>
      <c r="F144" s="9">
        <f t="shared" si="18"/>
        <v>0.7419354839</v>
      </c>
      <c r="G144" s="22">
        <f t="shared" si="19"/>
        <v>6986.213874</v>
      </c>
      <c r="H144" s="8"/>
      <c r="I144" s="9">
        <f t="shared" si="2"/>
        <v>21</v>
      </c>
      <c r="J144" s="8"/>
      <c r="K144" s="9" t="str">
        <f t="shared" si="3"/>
        <v/>
      </c>
      <c r="L144" s="9">
        <f t="shared" si="5"/>
        <v>43643.27869</v>
      </c>
      <c r="M144" s="27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>
      <c r="A145" s="28"/>
      <c r="B145" s="19">
        <v>40687.0</v>
      </c>
      <c r="C145" s="20">
        <v>21.0</v>
      </c>
      <c r="D145" s="26">
        <v>144.0</v>
      </c>
      <c r="E145" s="9">
        <f t="shared" si="17"/>
        <v>7074.612903</v>
      </c>
      <c r="F145" s="9">
        <f t="shared" si="18"/>
        <v>0.7096774194</v>
      </c>
      <c r="G145" s="22">
        <f t="shared" si="19"/>
        <v>6975.163996</v>
      </c>
      <c r="H145" s="8"/>
      <c r="I145" s="9">
        <f t="shared" si="2"/>
        <v>21</v>
      </c>
      <c r="J145" s="8"/>
      <c r="K145" s="9" t="str">
        <f t="shared" si="3"/>
        <v/>
      </c>
      <c r="L145" s="9">
        <f t="shared" si="5"/>
        <v>43643.27869</v>
      </c>
      <c r="M145" s="27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>
      <c r="A146" s="28"/>
      <c r="B146" s="19">
        <v>40688.0</v>
      </c>
      <c r="C146" s="20">
        <v>21.0</v>
      </c>
      <c r="D146" s="26">
        <v>145.0</v>
      </c>
      <c r="E146" s="9">
        <f t="shared" si="17"/>
        <v>7074.612903</v>
      </c>
      <c r="F146" s="9">
        <f t="shared" si="18"/>
        <v>0.6774193548</v>
      </c>
      <c r="G146" s="22">
        <f t="shared" si="19"/>
        <v>6964.114117</v>
      </c>
      <c r="H146" s="8"/>
      <c r="I146" s="9">
        <f t="shared" si="2"/>
        <v>21</v>
      </c>
      <c r="J146" s="8"/>
      <c r="K146" s="9" t="str">
        <f t="shared" si="3"/>
        <v/>
      </c>
      <c r="L146" s="9">
        <f t="shared" si="5"/>
        <v>43643.27869</v>
      </c>
      <c r="M146" s="27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>
      <c r="A147" s="28"/>
      <c r="B147" s="19">
        <v>40689.0</v>
      </c>
      <c r="C147" s="20">
        <v>21.0</v>
      </c>
      <c r="D147" s="26">
        <v>146.0</v>
      </c>
      <c r="E147" s="9">
        <f t="shared" si="17"/>
        <v>7074.612903</v>
      </c>
      <c r="F147" s="9">
        <f t="shared" si="18"/>
        <v>0.6451612903</v>
      </c>
      <c r="G147" s="22">
        <f t="shared" si="19"/>
        <v>6953.064239</v>
      </c>
      <c r="H147" s="8"/>
      <c r="I147" s="9">
        <f t="shared" si="2"/>
        <v>21</v>
      </c>
      <c r="J147" s="8"/>
      <c r="K147" s="9" t="str">
        <f t="shared" si="3"/>
        <v/>
      </c>
      <c r="L147" s="9">
        <f t="shared" si="5"/>
        <v>43643.27869</v>
      </c>
      <c r="M147" s="27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>
      <c r="A148" s="28"/>
      <c r="B148" s="19">
        <v>40690.0</v>
      </c>
      <c r="C148" s="20">
        <v>21.0</v>
      </c>
      <c r="D148" s="26">
        <v>147.0</v>
      </c>
      <c r="E148" s="9">
        <f t="shared" si="17"/>
        <v>7074.612903</v>
      </c>
      <c r="F148" s="9">
        <f t="shared" si="18"/>
        <v>0.6129032258</v>
      </c>
      <c r="G148" s="22">
        <f t="shared" si="19"/>
        <v>6942.01436</v>
      </c>
      <c r="H148" s="8"/>
      <c r="I148" s="9">
        <f t="shared" si="2"/>
        <v>21</v>
      </c>
      <c r="J148" s="8"/>
      <c r="K148" s="9" t="str">
        <f t="shared" si="3"/>
        <v/>
      </c>
      <c r="L148" s="9">
        <f t="shared" si="5"/>
        <v>43643.27869</v>
      </c>
      <c r="M148" s="27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>
      <c r="A149" s="28"/>
      <c r="B149" s="19">
        <v>40691.0</v>
      </c>
      <c r="C149" s="20">
        <v>22.0</v>
      </c>
      <c r="D149" s="26">
        <v>148.0</v>
      </c>
      <c r="E149" s="9">
        <f t="shared" si="17"/>
        <v>7074.612903</v>
      </c>
      <c r="F149" s="9">
        <f t="shared" si="18"/>
        <v>0.5806451613</v>
      </c>
      <c r="G149" s="22">
        <f t="shared" si="19"/>
        <v>6930.964481</v>
      </c>
      <c r="H149" s="8"/>
      <c r="I149" s="9">
        <f t="shared" si="2"/>
        <v>22</v>
      </c>
      <c r="J149" s="22">
        <f>SUM(G149:G155)</f>
        <v>48284.70392</v>
      </c>
      <c r="K149" s="22">
        <f t="shared" si="3"/>
        <v>48284.70392</v>
      </c>
      <c r="L149" s="9">
        <f t="shared" si="5"/>
        <v>43643.27869</v>
      </c>
      <c r="M149" s="24">
        <v>43643.27869</v>
      </c>
      <c r="N149" s="25">
        <v>13158.69341</v>
      </c>
      <c r="O149" s="25">
        <v>11398.60537</v>
      </c>
      <c r="P149" s="25">
        <v>3002.482156</v>
      </c>
      <c r="Q149" s="25">
        <v>21534.92718</v>
      </c>
      <c r="R149" s="18"/>
      <c r="S149" s="25">
        <v>11304.17336</v>
      </c>
      <c r="T149" s="25">
        <v>10337.44824</v>
      </c>
      <c r="U149" s="25">
        <v>2726.902072</v>
      </c>
      <c r="V149" s="25">
        <v>18583.38249</v>
      </c>
      <c r="W149" s="25">
        <v>1854.520055</v>
      </c>
      <c r="X149" s="25">
        <v>1061.157129</v>
      </c>
      <c r="Y149" s="25">
        <v>275.5800838</v>
      </c>
      <c r="Z149" s="25">
        <v>2951.544693</v>
      </c>
    </row>
    <row r="150">
      <c r="A150" s="28"/>
      <c r="B150" s="19">
        <v>40692.0</v>
      </c>
      <c r="C150" s="20">
        <v>22.0</v>
      </c>
      <c r="D150" s="26">
        <v>149.0</v>
      </c>
      <c r="E150" s="9">
        <f t="shared" si="17"/>
        <v>7074.612903</v>
      </c>
      <c r="F150" s="9">
        <f t="shared" si="18"/>
        <v>0.5483870968</v>
      </c>
      <c r="G150" s="22">
        <f t="shared" si="19"/>
        <v>6919.914603</v>
      </c>
      <c r="H150" s="8"/>
      <c r="I150" s="9">
        <f t="shared" si="2"/>
        <v>22</v>
      </c>
      <c r="J150" s="8"/>
      <c r="K150" s="9" t="str">
        <f t="shared" si="3"/>
        <v/>
      </c>
      <c r="L150" s="9">
        <f t="shared" si="5"/>
        <v>43643.27869</v>
      </c>
      <c r="M150" s="27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>
      <c r="A151" s="28"/>
      <c r="B151" s="19">
        <v>40693.0</v>
      </c>
      <c r="C151" s="20">
        <v>22.0</v>
      </c>
      <c r="D151" s="26">
        <v>150.0</v>
      </c>
      <c r="E151" s="9">
        <f t="shared" si="17"/>
        <v>7074.612903</v>
      </c>
      <c r="F151" s="9">
        <f t="shared" si="18"/>
        <v>0.5161290323</v>
      </c>
      <c r="G151" s="22">
        <f t="shared" si="19"/>
        <v>6908.864724</v>
      </c>
      <c r="H151" s="8"/>
      <c r="I151" s="9">
        <f t="shared" si="2"/>
        <v>22</v>
      </c>
      <c r="J151" s="8"/>
      <c r="K151" s="9" t="str">
        <f t="shared" si="3"/>
        <v/>
      </c>
      <c r="L151" s="9">
        <f t="shared" si="5"/>
        <v>43643.27869</v>
      </c>
      <c r="M151" s="27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>
      <c r="A152" s="28"/>
      <c r="B152" s="19">
        <v>40694.0</v>
      </c>
      <c r="C152" s="20">
        <v>22.0</v>
      </c>
      <c r="D152" s="26">
        <v>151.0</v>
      </c>
      <c r="E152" s="9">
        <f t="shared" si="17"/>
        <v>7074.612903</v>
      </c>
      <c r="F152" s="9">
        <f t="shared" si="18"/>
        <v>0.4838709677</v>
      </c>
      <c r="G152" s="22">
        <f t="shared" si="19"/>
        <v>6897.814846</v>
      </c>
      <c r="H152" s="8"/>
      <c r="I152" s="9">
        <f t="shared" si="2"/>
        <v>22</v>
      </c>
      <c r="J152" s="8"/>
      <c r="K152" s="9" t="str">
        <f t="shared" si="3"/>
        <v/>
      </c>
      <c r="L152" s="9">
        <f t="shared" si="5"/>
        <v>43643.27869</v>
      </c>
      <c r="M152" s="27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>
      <c r="A153" s="28"/>
      <c r="B153" s="19">
        <v>40695.0</v>
      </c>
      <c r="C153" s="20">
        <v>22.0</v>
      </c>
      <c r="D153" s="26">
        <v>152.0</v>
      </c>
      <c r="E153" s="9">
        <f>A155/30</f>
        <v>6732.066667</v>
      </c>
      <c r="F153" s="9">
        <f t="shared" si="18"/>
        <v>0.4516129032</v>
      </c>
      <c r="G153" s="22">
        <f t="shared" si="19"/>
        <v>6886.764967</v>
      </c>
      <c r="H153" s="8"/>
      <c r="I153" s="9">
        <f t="shared" si="2"/>
        <v>22</v>
      </c>
      <c r="J153" s="8"/>
      <c r="K153" s="9" t="str">
        <f t="shared" si="3"/>
        <v/>
      </c>
      <c r="L153" s="9">
        <f t="shared" si="5"/>
        <v>43643.27869</v>
      </c>
      <c r="M153" s="27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>
      <c r="A154" s="13" t="s">
        <v>69</v>
      </c>
      <c r="B154" s="19">
        <v>40696.0</v>
      </c>
      <c r="C154" s="20">
        <v>22.0</v>
      </c>
      <c r="D154" s="26">
        <v>153.0</v>
      </c>
      <c r="E154" s="9">
        <f>A155/30</f>
        <v>6732.066667</v>
      </c>
      <c r="F154" s="9">
        <f t="shared" si="18"/>
        <v>0.4193548387</v>
      </c>
      <c r="G154" s="22">
        <f t="shared" si="19"/>
        <v>6875.715088</v>
      </c>
      <c r="H154" s="8"/>
      <c r="I154" s="9">
        <f t="shared" si="2"/>
        <v>22</v>
      </c>
      <c r="J154" s="8"/>
      <c r="K154" s="9" t="str">
        <f t="shared" si="3"/>
        <v/>
      </c>
      <c r="L154" s="9">
        <f t="shared" si="5"/>
        <v>43643.27869</v>
      </c>
      <c r="M154" s="27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>
      <c r="A155" s="20">
        <v>201962.0</v>
      </c>
      <c r="B155" s="19">
        <v>40697.0</v>
      </c>
      <c r="C155" s="20">
        <v>22.0</v>
      </c>
      <c r="D155" s="26">
        <v>154.0</v>
      </c>
      <c r="E155" s="9">
        <f t="shared" ref="E155:E182" si="20">E154</f>
        <v>6732.066667</v>
      </c>
      <c r="F155" s="9">
        <f t="shared" si="18"/>
        <v>0.3870967742</v>
      </c>
      <c r="G155" s="22">
        <f t="shared" si="19"/>
        <v>6864.66521</v>
      </c>
      <c r="H155" s="8"/>
      <c r="I155" s="9">
        <f t="shared" si="2"/>
        <v>22</v>
      </c>
      <c r="J155" s="8"/>
      <c r="K155" s="9" t="str">
        <f t="shared" si="3"/>
        <v/>
      </c>
      <c r="L155" s="9">
        <f t="shared" si="5"/>
        <v>43643.27869</v>
      </c>
      <c r="M155" s="27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>
      <c r="A156" s="28"/>
      <c r="B156" s="19">
        <v>40698.0</v>
      </c>
      <c r="C156" s="20">
        <v>23.0</v>
      </c>
      <c r="D156" s="26">
        <v>155.0</v>
      </c>
      <c r="E156" s="9">
        <f t="shared" si="20"/>
        <v>6732.066667</v>
      </c>
      <c r="F156" s="9">
        <f t="shared" si="18"/>
        <v>0.3548387097</v>
      </c>
      <c r="G156" s="22">
        <f t="shared" si="19"/>
        <v>6853.615331</v>
      </c>
      <c r="H156" s="8"/>
      <c r="I156" s="9">
        <f t="shared" si="2"/>
        <v>23</v>
      </c>
      <c r="J156" s="22">
        <f>SUM(G156:G162)</f>
        <v>47743.25987</v>
      </c>
      <c r="K156" s="22">
        <f t="shared" si="3"/>
        <v>47743.25987</v>
      </c>
      <c r="L156" s="9">
        <f t="shared" si="5"/>
        <v>43643.27869</v>
      </c>
      <c r="M156" s="24">
        <v>43643.27869</v>
      </c>
      <c r="N156" s="25">
        <v>12088.15792</v>
      </c>
      <c r="O156" s="25">
        <v>11603.04798</v>
      </c>
      <c r="P156" s="25">
        <v>2954.553019</v>
      </c>
      <c r="Q156" s="25">
        <v>20997.73905</v>
      </c>
      <c r="R156" s="18"/>
      <c r="S156" s="25">
        <v>11081.86894</v>
      </c>
      <c r="T156" s="25">
        <v>9977.12679</v>
      </c>
      <c r="U156" s="25">
        <v>2717.621531</v>
      </c>
      <c r="V156" s="25">
        <v>18111.2196</v>
      </c>
      <c r="W156" s="25">
        <v>1006.288985</v>
      </c>
      <c r="X156" s="25">
        <v>1625.921188</v>
      </c>
      <c r="Y156" s="25">
        <v>236.9314878</v>
      </c>
      <c r="Z156" s="25">
        <v>2886.519449</v>
      </c>
    </row>
    <row r="157">
      <c r="A157" s="28"/>
      <c r="B157" s="19">
        <v>40699.0</v>
      </c>
      <c r="C157" s="20">
        <v>23.0</v>
      </c>
      <c r="D157" s="26">
        <v>156.0</v>
      </c>
      <c r="E157" s="9">
        <f t="shared" si="20"/>
        <v>6732.066667</v>
      </c>
      <c r="F157" s="9">
        <f t="shared" si="18"/>
        <v>0.3225806452</v>
      </c>
      <c r="G157" s="22">
        <f t="shared" si="19"/>
        <v>6842.565453</v>
      </c>
      <c r="H157" s="8"/>
      <c r="I157" s="9">
        <f t="shared" si="2"/>
        <v>23</v>
      </c>
      <c r="J157" s="8"/>
      <c r="K157" s="9" t="str">
        <f t="shared" si="3"/>
        <v/>
      </c>
      <c r="L157" s="9">
        <f t="shared" si="5"/>
        <v>43643.27869</v>
      </c>
      <c r="M157" s="27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>
      <c r="A158" s="28"/>
      <c r="B158" s="19">
        <v>40700.0</v>
      </c>
      <c r="C158" s="20">
        <v>23.0</v>
      </c>
      <c r="D158" s="26">
        <v>157.0</v>
      </c>
      <c r="E158" s="9">
        <f t="shared" si="20"/>
        <v>6732.066667</v>
      </c>
      <c r="F158" s="9">
        <f t="shared" si="18"/>
        <v>0.2903225806</v>
      </c>
      <c r="G158" s="22">
        <f t="shared" si="19"/>
        <v>6831.515574</v>
      </c>
      <c r="H158" s="8"/>
      <c r="I158" s="9">
        <f t="shared" si="2"/>
        <v>23</v>
      </c>
      <c r="J158" s="8"/>
      <c r="K158" s="9" t="str">
        <f t="shared" si="3"/>
        <v/>
      </c>
      <c r="L158" s="9">
        <f t="shared" si="5"/>
        <v>43643.27869</v>
      </c>
      <c r="M158" s="27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>
      <c r="A159" s="28"/>
      <c r="B159" s="19">
        <v>40701.0</v>
      </c>
      <c r="C159" s="20">
        <v>23.0</v>
      </c>
      <c r="D159" s="26">
        <v>158.0</v>
      </c>
      <c r="E159" s="9">
        <f t="shared" si="20"/>
        <v>6732.066667</v>
      </c>
      <c r="F159" s="9">
        <f t="shared" si="18"/>
        <v>0.2580645161</v>
      </c>
      <c r="G159" s="22">
        <f t="shared" si="19"/>
        <v>6820.465695</v>
      </c>
      <c r="H159" s="8"/>
      <c r="I159" s="9">
        <f t="shared" si="2"/>
        <v>23</v>
      </c>
      <c r="J159" s="8"/>
      <c r="K159" s="9" t="str">
        <f t="shared" si="3"/>
        <v/>
      </c>
      <c r="L159" s="9">
        <f t="shared" si="5"/>
        <v>43643.27869</v>
      </c>
      <c r="M159" s="27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>
      <c r="A160" s="28"/>
      <c r="B160" s="19">
        <v>40702.0</v>
      </c>
      <c r="C160" s="20">
        <v>23.0</v>
      </c>
      <c r="D160" s="26">
        <v>159.0</v>
      </c>
      <c r="E160" s="9">
        <f t="shared" si="20"/>
        <v>6732.066667</v>
      </c>
      <c r="F160" s="9">
        <f t="shared" si="18"/>
        <v>0.2258064516</v>
      </c>
      <c r="G160" s="22">
        <f t="shared" si="19"/>
        <v>6809.415817</v>
      </c>
      <c r="H160" s="8"/>
      <c r="I160" s="9">
        <f t="shared" si="2"/>
        <v>23</v>
      </c>
      <c r="J160" s="8"/>
      <c r="K160" s="9" t="str">
        <f t="shared" si="3"/>
        <v/>
      </c>
      <c r="L160" s="9">
        <f t="shared" si="5"/>
        <v>43643.27869</v>
      </c>
      <c r="M160" s="27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>
      <c r="A161" s="28"/>
      <c r="B161" s="19">
        <v>40703.0</v>
      </c>
      <c r="C161" s="20">
        <v>23.0</v>
      </c>
      <c r="D161" s="26">
        <v>160.0</v>
      </c>
      <c r="E161" s="9">
        <f t="shared" si="20"/>
        <v>6732.066667</v>
      </c>
      <c r="F161" s="9">
        <f t="shared" si="18"/>
        <v>0.1935483871</v>
      </c>
      <c r="G161" s="22">
        <f t="shared" si="19"/>
        <v>6798.365938</v>
      </c>
      <c r="H161" s="8"/>
      <c r="I161" s="9">
        <f t="shared" si="2"/>
        <v>23</v>
      </c>
      <c r="J161" s="8"/>
      <c r="K161" s="9" t="str">
        <f t="shared" si="3"/>
        <v/>
      </c>
      <c r="L161" s="9">
        <f t="shared" si="5"/>
        <v>43643.27869</v>
      </c>
      <c r="M161" s="27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>
      <c r="A162" s="28"/>
      <c r="B162" s="19">
        <v>40704.0</v>
      </c>
      <c r="C162" s="20">
        <v>23.0</v>
      </c>
      <c r="D162" s="26">
        <v>161.0</v>
      </c>
      <c r="E162" s="9">
        <f t="shared" si="20"/>
        <v>6732.066667</v>
      </c>
      <c r="F162" s="9">
        <f t="shared" si="18"/>
        <v>0.1612903226</v>
      </c>
      <c r="G162" s="22">
        <f t="shared" si="19"/>
        <v>6787.31606</v>
      </c>
      <c r="H162" s="8"/>
      <c r="I162" s="9">
        <f t="shared" si="2"/>
        <v>23</v>
      </c>
      <c r="J162" s="8"/>
      <c r="K162" s="9" t="str">
        <f t="shared" si="3"/>
        <v/>
      </c>
      <c r="L162" s="9">
        <f t="shared" si="5"/>
        <v>43643.27869</v>
      </c>
      <c r="M162" s="27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>
      <c r="A163" s="28"/>
      <c r="B163" s="19">
        <v>40705.0</v>
      </c>
      <c r="C163" s="20">
        <v>24.0</v>
      </c>
      <c r="D163" s="26">
        <v>162.0</v>
      </c>
      <c r="E163" s="9">
        <f t="shared" si="20"/>
        <v>6732.066667</v>
      </c>
      <c r="F163" s="9">
        <f t="shared" si="18"/>
        <v>0.1290322581</v>
      </c>
      <c r="G163" s="22">
        <f t="shared" si="19"/>
        <v>6776.266181</v>
      </c>
      <c r="H163" s="8"/>
      <c r="I163" s="9">
        <f t="shared" si="2"/>
        <v>24</v>
      </c>
      <c r="J163" s="22">
        <f>SUM(G163:G169)</f>
        <v>47249.99104</v>
      </c>
      <c r="K163" s="22">
        <f t="shared" si="3"/>
        <v>47249.99104</v>
      </c>
      <c r="L163" s="9">
        <f t="shared" si="5"/>
        <v>43643.27869</v>
      </c>
      <c r="M163" s="24">
        <v>43643.27869</v>
      </c>
      <c r="N163" s="25">
        <v>12697.24514</v>
      </c>
      <c r="O163" s="25">
        <v>10869.3512</v>
      </c>
      <c r="P163" s="25">
        <v>2780.797074</v>
      </c>
      <c r="Q163" s="25">
        <v>21222.24097</v>
      </c>
      <c r="R163" s="18"/>
      <c r="S163" s="25">
        <v>11640.63388</v>
      </c>
      <c r="T163" s="25">
        <v>10677.32047</v>
      </c>
      <c r="U163" s="25">
        <v>2517.433091</v>
      </c>
      <c r="V163" s="25">
        <v>18231.53982</v>
      </c>
      <c r="W163" s="25">
        <v>1056.611262</v>
      </c>
      <c r="X163" s="25">
        <v>192.0307275</v>
      </c>
      <c r="Y163" s="25">
        <v>263.3639831</v>
      </c>
      <c r="Z163" s="25">
        <v>2990.701147</v>
      </c>
    </row>
    <row r="164">
      <c r="A164" s="28"/>
      <c r="B164" s="19">
        <v>40706.0</v>
      </c>
      <c r="C164" s="20">
        <v>24.0</v>
      </c>
      <c r="D164" s="26">
        <v>163.0</v>
      </c>
      <c r="E164" s="9">
        <f t="shared" si="20"/>
        <v>6732.066667</v>
      </c>
      <c r="F164" s="9">
        <f t="shared" si="18"/>
        <v>0.09677419355</v>
      </c>
      <c r="G164" s="22">
        <f t="shared" si="19"/>
        <v>6765.216302</v>
      </c>
      <c r="H164" s="8"/>
      <c r="I164" s="9">
        <f t="shared" si="2"/>
        <v>24</v>
      </c>
      <c r="J164" s="8"/>
      <c r="K164" s="9" t="str">
        <f t="shared" si="3"/>
        <v/>
      </c>
      <c r="L164" s="9">
        <f t="shared" si="5"/>
        <v>43643.27869</v>
      </c>
      <c r="M164" s="27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>
      <c r="A165" s="28"/>
      <c r="B165" s="19">
        <v>40707.0</v>
      </c>
      <c r="C165" s="20">
        <v>24.0</v>
      </c>
      <c r="D165" s="26">
        <v>164.0</v>
      </c>
      <c r="E165" s="9">
        <f t="shared" si="20"/>
        <v>6732.066667</v>
      </c>
      <c r="F165" s="9">
        <f t="shared" si="18"/>
        <v>0.06451612903</v>
      </c>
      <c r="G165" s="22">
        <f t="shared" si="19"/>
        <v>6754.166424</v>
      </c>
      <c r="H165" s="8"/>
      <c r="I165" s="9">
        <f t="shared" si="2"/>
        <v>24</v>
      </c>
      <c r="J165" s="8"/>
      <c r="K165" s="9" t="str">
        <f t="shared" si="3"/>
        <v/>
      </c>
      <c r="L165" s="9">
        <f t="shared" si="5"/>
        <v>43643.27869</v>
      </c>
      <c r="M165" s="27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>
      <c r="A166" s="28"/>
      <c r="B166" s="19">
        <v>40708.0</v>
      </c>
      <c r="C166" s="20">
        <v>24.0</v>
      </c>
      <c r="D166" s="26">
        <v>165.0</v>
      </c>
      <c r="E166" s="9">
        <f t="shared" si="20"/>
        <v>6732.066667</v>
      </c>
      <c r="F166" s="9">
        <f t="shared" si="18"/>
        <v>0.03225806452</v>
      </c>
      <c r="G166" s="22">
        <f t="shared" si="19"/>
        <v>6743.116545</v>
      </c>
      <c r="H166" s="8"/>
      <c r="I166" s="9">
        <f t="shared" si="2"/>
        <v>24</v>
      </c>
      <c r="J166" s="8"/>
      <c r="K166" s="9" t="str">
        <f t="shared" si="3"/>
        <v/>
      </c>
      <c r="L166" s="9">
        <f t="shared" si="5"/>
        <v>43643.27869</v>
      </c>
      <c r="M166" s="27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>
      <c r="A167" s="28"/>
      <c r="B167" s="19">
        <v>40709.0</v>
      </c>
      <c r="C167" s="20">
        <v>24.0</v>
      </c>
      <c r="D167" s="26">
        <v>166.0</v>
      </c>
      <c r="E167" s="9">
        <f t="shared" si="20"/>
        <v>6732.066667</v>
      </c>
      <c r="F167" s="9">
        <f t="shared" si="18"/>
        <v>0</v>
      </c>
      <c r="G167" s="22">
        <f t="shared" ref="G167:G197" si="21">E152*F167+(1-F167)*E182</f>
        <v>6732.066667</v>
      </c>
      <c r="H167" s="8"/>
      <c r="I167" s="9">
        <f t="shared" si="2"/>
        <v>24</v>
      </c>
      <c r="J167" s="8"/>
      <c r="K167" s="9" t="str">
        <f t="shared" si="3"/>
        <v/>
      </c>
      <c r="L167" s="9">
        <f t="shared" si="5"/>
        <v>43643.27869</v>
      </c>
      <c r="M167" s="27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>
      <c r="A168" s="13"/>
      <c r="B168" s="19">
        <v>40710.0</v>
      </c>
      <c r="C168" s="20">
        <v>24.0</v>
      </c>
      <c r="D168" s="26">
        <v>167.0</v>
      </c>
      <c r="E168" s="9">
        <f t="shared" si="20"/>
        <v>6732.066667</v>
      </c>
      <c r="F168" s="9">
        <f t="shared" ref="F168:F197" si="22">abs((D168-196)/(166-196))</f>
        <v>0.9666666667</v>
      </c>
      <c r="G168" s="22">
        <f t="shared" si="21"/>
        <v>6737.075197</v>
      </c>
      <c r="H168" s="8"/>
      <c r="I168" s="9">
        <f t="shared" si="2"/>
        <v>24</v>
      </c>
      <c r="J168" s="8"/>
      <c r="K168" s="9" t="str">
        <f t="shared" si="3"/>
        <v/>
      </c>
      <c r="L168" s="9">
        <f t="shared" si="5"/>
        <v>43643.27869</v>
      </c>
      <c r="M168" s="27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>
      <c r="A169" s="13"/>
      <c r="B169" s="19">
        <v>40711.0</v>
      </c>
      <c r="C169" s="20">
        <v>24.0</v>
      </c>
      <c r="D169" s="26">
        <v>168.0</v>
      </c>
      <c r="E169" s="9">
        <f t="shared" si="20"/>
        <v>6732.066667</v>
      </c>
      <c r="F169" s="9">
        <f t="shared" si="22"/>
        <v>0.9333333333</v>
      </c>
      <c r="G169" s="22">
        <f t="shared" si="21"/>
        <v>6742.083728</v>
      </c>
      <c r="H169" s="8"/>
      <c r="I169" s="9">
        <f t="shared" si="2"/>
        <v>24</v>
      </c>
      <c r="J169" s="8"/>
      <c r="K169" s="9" t="str">
        <f t="shared" si="3"/>
        <v/>
      </c>
      <c r="L169" s="9">
        <f t="shared" si="5"/>
        <v>43643.27869</v>
      </c>
      <c r="M169" s="27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>
      <c r="A170" s="28"/>
      <c r="B170" s="19">
        <v>40712.0</v>
      </c>
      <c r="C170" s="20">
        <v>25.0</v>
      </c>
      <c r="D170" s="26">
        <v>169.0</v>
      </c>
      <c r="E170" s="9">
        <f t="shared" si="20"/>
        <v>6732.066667</v>
      </c>
      <c r="F170" s="9">
        <f t="shared" si="22"/>
        <v>0.9</v>
      </c>
      <c r="G170" s="22">
        <f t="shared" si="21"/>
        <v>6747.092258</v>
      </c>
      <c r="H170" s="8"/>
      <c r="I170" s="9">
        <f t="shared" si="2"/>
        <v>25</v>
      </c>
      <c r="J170" s="22">
        <f>SUM(G170:G176)</f>
        <v>47334.82495</v>
      </c>
      <c r="K170" s="22">
        <f t="shared" si="3"/>
        <v>47334.82495</v>
      </c>
      <c r="L170" s="9">
        <f t="shared" si="5"/>
        <v>43643.27869</v>
      </c>
      <c r="M170" s="24">
        <v>43643.27869</v>
      </c>
      <c r="N170" s="25">
        <v>12095.5494</v>
      </c>
      <c r="O170" s="25">
        <v>11093.2411</v>
      </c>
      <c r="P170" s="25">
        <v>2968.411961</v>
      </c>
      <c r="Q170" s="25">
        <v>21653.84649</v>
      </c>
      <c r="R170" s="18"/>
      <c r="S170" s="25">
        <v>11762.30914</v>
      </c>
      <c r="T170" s="25">
        <v>9994.431855</v>
      </c>
      <c r="U170" s="25">
        <v>2727.808688</v>
      </c>
      <c r="V170" s="25">
        <v>18847.95577</v>
      </c>
      <c r="W170" s="25">
        <v>333.2402608</v>
      </c>
      <c r="X170" s="25">
        <v>1098.809241</v>
      </c>
      <c r="Y170" s="25">
        <v>240.6032729</v>
      </c>
      <c r="Z170" s="25">
        <v>2805.890716</v>
      </c>
    </row>
    <row r="171">
      <c r="A171" s="28"/>
      <c r="B171" s="19">
        <v>40713.0</v>
      </c>
      <c r="C171" s="20">
        <v>25.0</v>
      </c>
      <c r="D171" s="26">
        <v>170.0</v>
      </c>
      <c r="E171" s="9">
        <f t="shared" si="20"/>
        <v>6732.066667</v>
      </c>
      <c r="F171" s="9">
        <f t="shared" si="22"/>
        <v>0.8666666667</v>
      </c>
      <c r="G171" s="22">
        <f t="shared" si="21"/>
        <v>6752.100789</v>
      </c>
      <c r="H171" s="8"/>
      <c r="I171" s="9">
        <f t="shared" si="2"/>
        <v>25</v>
      </c>
      <c r="J171" s="8"/>
      <c r="K171" s="9" t="str">
        <f t="shared" si="3"/>
        <v/>
      </c>
      <c r="L171" s="9">
        <f t="shared" si="5"/>
        <v>43643.27869</v>
      </c>
      <c r="M171" s="27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>
      <c r="A172" s="28"/>
      <c r="B172" s="19">
        <v>40714.0</v>
      </c>
      <c r="C172" s="20">
        <v>25.0</v>
      </c>
      <c r="D172" s="26">
        <v>171.0</v>
      </c>
      <c r="E172" s="9">
        <f t="shared" si="20"/>
        <v>6732.066667</v>
      </c>
      <c r="F172" s="9">
        <f t="shared" si="22"/>
        <v>0.8333333333</v>
      </c>
      <c r="G172" s="22">
        <f t="shared" si="21"/>
        <v>6757.109319</v>
      </c>
      <c r="H172" s="8"/>
      <c r="I172" s="9">
        <f t="shared" si="2"/>
        <v>25</v>
      </c>
      <c r="J172" s="8"/>
      <c r="K172" s="9" t="str">
        <f t="shared" si="3"/>
        <v/>
      </c>
      <c r="L172" s="9">
        <f t="shared" si="5"/>
        <v>43643.27869</v>
      </c>
      <c r="M172" s="27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>
      <c r="A173" s="28"/>
      <c r="B173" s="19">
        <v>40715.0</v>
      </c>
      <c r="C173" s="20">
        <v>25.0</v>
      </c>
      <c r="D173" s="26">
        <v>172.0</v>
      </c>
      <c r="E173" s="9">
        <f t="shared" si="20"/>
        <v>6732.066667</v>
      </c>
      <c r="F173" s="9">
        <f t="shared" si="22"/>
        <v>0.8</v>
      </c>
      <c r="G173" s="22">
        <f t="shared" si="21"/>
        <v>6762.117849</v>
      </c>
      <c r="H173" s="8"/>
      <c r="I173" s="9">
        <f t="shared" si="2"/>
        <v>25</v>
      </c>
      <c r="J173" s="8"/>
      <c r="K173" s="9" t="str">
        <f t="shared" si="3"/>
        <v/>
      </c>
      <c r="L173" s="9">
        <f t="shared" si="5"/>
        <v>43643.27869</v>
      </c>
      <c r="M173" s="27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>
      <c r="A174" s="28"/>
      <c r="B174" s="19">
        <v>40716.0</v>
      </c>
      <c r="C174" s="20">
        <v>25.0</v>
      </c>
      <c r="D174" s="26">
        <v>173.0</v>
      </c>
      <c r="E174" s="9">
        <f t="shared" si="20"/>
        <v>6732.066667</v>
      </c>
      <c r="F174" s="9">
        <f t="shared" si="22"/>
        <v>0.7666666667</v>
      </c>
      <c r="G174" s="22">
        <f t="shared" si="21"/>
        <v>6767.12638</v>
      </c>
      <c r="H174" s="8"/>
      <c r="I174" s="9">
        <f t="shared" si="2"/>
        <v>25</v>
      </c>
      <c r="J174" s="8"/>
      <c r="K174" s="9" t="str">
        <f t="shared" si="3"/>
        <v/>
      </c>
      <c r="L174" s="9">
        <f t="shared" si="5"/>
        <v>43643.27869</v>
      </c>
      <c r="M174" s="27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>
      <c r="A175" s="28"/>
      <c r="B175" s="19">
        <v>40717.0</v>
      </c>
      <c r="C175" s="20">
        <v>25.0</v>
      </c>
      <c r="D175" s="26">
        <v>174.0</v>
      </c>
      <c r="E175" s="9">
        <f t="shared" si="20"/>
        <v>6732.066667</v>
      </c>
      <c r="F175" s="9">
        <f t="shared" si="22"/>
        <v>0.7333333333</v>
      </c>
      <c r="G175" s="22">
        <f t="shared" si="21"/>
        <v>6772.13491</v>
      </c>
      <c r="H175" s="8"/>
      <c r="I175" s="9">
        <f t="shared" si="2"/>
        <v>25</v>
      </c>
      <c r="J175" s="8"/>
      <c r="K175" s="9" t="str">
        <f t="shared" si="3"/>
        <v/>
      </c>
      <c r="L175" s="9">
        <f t="shared" si="5"/>
        <v>43643.27869</v>
      </c>
      <c r="M175" s="27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>
      <c r="A176" s="28"/>
      <c r="B176" s="19">
        <v>40718.0</v>
      </c>
      <c r="C176" s="20">
        <v>25.0</v>
      </c>
      <c r="D176" s="26">
        <v>175.0</v>
      </c>
      <c r="E176" s="9">
        <f t="shared" si="20"/>
        <v>6732.066667</v>
      </c>
      <c r="F176" s="9">
        <f t="shared" si="22"/>
        <v>0.7</v>
      </c>
      <c r="G176" s="22">
        <f t="shared" si="21"/>
        <v>6777.143441</v>
      </c>
      <c r="H176" s="8"/>
      <c r="I176" s="9">
        <f t="shared" si="2"/>
        <v>25</v>
      </c>
      <c r="J176" s="8"/>
      <c r="K176" s="9" t="str">
        <f t="shared" si="3"/>
        <v/>
      </c>
      <c r="L176" s="9">
        <f t="shared" si="5"/>
        <v>43643.27869</v>
      </c>
      <c r="M176" s="27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>
      <c r="A177" s="28"/>
      <c r="B177" s="19">
        <v>40719.0</v>
      </c>
      <c r="C177" s="20">
        <v>26.0</v>
      </c>
      <c r="D177" s="26">
        <v>176.0</v>
      </c>
      <c r="E177" s="9">
        <f t="shared" si="20"/>
        <v>6732.066667</v>
      </c>
      <c r="F177" s="9">
        <f t="shared" si="22"/>
        <v>0.6666666667</v>
      </c>
      <c r="G177" s="22">
        <f t="shared" si="21"/>
        <v>6782.151971</v>
      </c>
      <c r="H177" s="8"/>
      <c r="I177" s="9">
        <f t="shared" si="2"/>
        <v>26</v>
      </c>
      <c r="J177" s="22">
        <f>SUM(G177:G183)</f>
        <v>47580.24294</v>
      </c>
      <c r="K177" s="22">
        <f t="shared" si="3"/>
        <v>47580.24294</v>
      </c>
      <c r="L177" s="9">
        <f t="shared" si="5"/>
        <v>43643.27869</v>
      </c>
      <c r="M177" s="24">
        <v>43643.27869</v>
      </c>
      <c r="N177" s="25">
        <v>12296.84195</v>
      </c>
      <c r="O177" s="25">
        <v>10739.00083</v>
      </c>
      <c r="P177" s="25">
        <v>3000.088715</v>
      </c>
      <c r="Q177" s="25">
        <v>21496.38649</v>
      </c>
      <c r="R177" s="18"/>
      <c r="S177" s="25">
        <v>11088.98683</v>
      </c>
      <c r="T177" s="25">
        <v>10212.4039</v>
      </c>
      <c r="U177" s="25">
        <v>2738.773908</v>
      </c>
      <c r="V177" s="25">
        <v>19459.55273</v>
      </c>
      <c r="W177" s="25">
        <v>1207.855116</v>
      </c>
      <c r="X177" s="25">
        <v>526.5969273</v>
      </c>
      <c r="Y177" s="25">
        <v>261.3148071</v>
      </c>
      <c r="Z177" s="25">
        <v>2036.833768</v>
      </c>
    </row>
    <row r="178">
      <c r="A178" s="28"/>
      <c r="B178" s="19">
        <v>40720.0</v>
      </c>
      <c r="C178" s="20">
        <v>26.0</v>
      </c>
      <c r="D178" s="26">
        <v>177.0</v>
      </c>
      <c r="E178" s="9">
        <f t="shared" si="20"/>
        <v>6732.066667</v>
      </c>
      <c r="F178" s="9">
        <f t="shared" si="22"/>
        <v>0.6333333333</v>
      </c>
      <c r="G178" s="22">
        <f t="shared" si="21"/>
        <v>6787.160502</v>
      </c>
      <c r="H178" s="8"/>
      <c r="I178" s="9">
        <f t="shared" si="2"/>
        <v>26</v>
      </c>
      <c r="J178" s="8"/>
      <c r="K178" s="9" t="str">
        <f t="shared" si="3"/>
        <v/>
      </c>
      <c r="L178" s="9">
        <f t="shared" si="5"/>
        <v>43643.27869</v>
      </c>
      <c r="M178" s="27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>
      <c r="A179" s="28"/>
      <c r="B179" s="19">
        <v>40721.0</v>
      </c>
      <c r="C179" s="20">
        <v>26.0</v>
      </c>
      <c r="D179" s="26">
        <v>178.0</v>
      </c>
      <c r="E179" s="9">
        <f t="shared" si="20"/>
        <v>6732.066667</v>
      </c>
      <c r="F179" s="9">
        <f t="shared" si="22"/>
        <v>0.6</v>
      </c>
      <c r="G179" s="22">
        <f t="shared" si="21"/>
        <v>6792.169032</v>
      </c>
      <c r="H179" s="8"/>
      <c r="I179" s="9">
        <f t="shared" si="2"/>
        <v>26</v>
      </c>
      <c r="J179" s="8"/>
      <c r="K179" s="9" t="str">
        <f t="shared" si="3"/>
        <v/>
      </c>
      <c r="L179" s="9">
        <f t="shared" si="5"/>
        <v>43643.27869</v>
      </c>
      <c r="M179" s="27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>
      <c r="A180" s="28"/>
      <c r="B180" s="19">
        <v>40722.0</v>
      </c>
      <c r="C180" s="20">
        <v>26.0</v>
      </c>
      <c r="D180" s="26">
        <v>179.0</v>
      </c>
      <c r="E180" s="9">
        <f t="shared" si="20"/>
        <v>6732.066667</v>
      </c>
      <c r="F180" s="9">
        <f t="shared" si="22"/>
        <v>0.5666666667</v>
      </c>
      <c r="G180" s="22">
        <f t="shared" si="21"/>
        <v>6797.177563</v>
      </c>
      <c r="H180" s="8"/>
      <c r="I180" s="9">
        <f t="shared" si="2"/>
        <v>26</v>
      </c>
      <c r="J180" s="8"/>
      <c r="K180" s="9" t="str">
        <f t="shared" si="3"/>
        <v/>
      </c>
      <c r="L180" s="9">
        <f t="shared" si="5"/>
        <v>43643.27869</v>
      </c>
      <c r="M180" s="27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>
      <c r="A181" s="28"/>
      <c r="B181" s="19">
        <v>40723.0</v>
      </c>
      <c r="C181" s="20">
        <v>26.0</v>
      </c>
      <c r="D181" s="26">
        <v>180.0</v>
      </c>
      <c r="E181" s="9">
        <f t="shared" si="20"/>
        <v>6732.066667</v>
      </c>
      <c r="F181" s="9">
        <f t="shared" si="22"/>
        <v>0.5333333333</v>
      </c>
      <c r="G181" s="22">
        <f t="shared" si="21"/>
        <v>6802.186093</v>
      </c>
      <c r="H181" s="8"/>
      <c r="I181" s="9">
        <f t="shared" si="2"/>
        <v>26</v>
      </c>
      <c r="J181" s="8"/>
      <c r="K181" s="9" t="str">
        <f t="shared" si="3"/>
        <v/>
      </c>
      <c r="L181" s="9">
        <f t="shared" si="5"/>
        <v>43643.27869</v>
      </c>
      <c r="M181" s="27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>
      <c r="A182" s="28"/>
      <c r="B182" s="19">
        <v>40724.0</v>
      </c>
      <c r="C182" s="20">
        <v>26.0</v>
      </c>
      <c r="D182" s="26">
        <v>181.0</v>
      </c>
      <c r="E182" s="9">
        <f t="shared" si="20"/>
        <v>6732.066667</v>
      </c>
      <c r="F182" s="9">
        <f t="shared" si="22"/>
        <v>0.5</v>
      </c>
      <c r="G182" s="22">
        <f t="shared" si="21"/>
        <v>6807.194624</v>
      </c>
      <c r="H182" s="8"/>
      <c r="I182" s="9">
        <f t="shared" si="2"/>
        <v>26</v>
      </c>
      <c r="J182" s="8"/>
      <c r="K182" s="9" t="str">
        <f t="shared" si="3"/>
        <v/>
      </c>
      <c r="L182" s="9">
        <f t="shared" si="5"/>
        <v>43643.27869</v>
      </c>
      <c r="M182" s="27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>
      <c r="A183" s="28"/>
      <c r="B183" s="19">
        <v>40725.0</v>
      </c>
      <c r="C183" s="20">
        <v>26.0</v>
      </c>
      <c r="D183" s="26">
        <v>182.0</v>
      </c>
      <c r="E183" s="9">
        <f>A185/31</f>
        <v>6882.322581</v>
      </c>
      <c r="F183" s="9">
        <f t="shared" si="22"/>
        <v>0.4666666667</v>
      </c>
      <c r="G183" s="22">
        <f t="shared" si="21"/>
        <v>6812.203154</v>
      </c>
      <c r="H183" s="8"/>
      <c r="I183" s="9">
        <f t="shared" si="2"/>
        <v>26</v>
      </c>
      <c r="J183" s="8"/>
      <c r="K183" s="9" t="str">
        <f t="shared" si="3"/>
        <v/>
      </c>
      <c r="L183" s="9">
        <f t="shared" si="5"/>
        <v>43643.27869</v>
      </c>
      <c r="M183" s="27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>
      <c r="A184" s="13" t="s">
        <v>70</v>
      </c>
      <c r="B184" s="19">
        <v>40726.0</v>
      </c>
      <c r="C184" s="20">
        <v>27.0</v>
      </c>
      <c r="D184" s="26">
        <v>183.0</v>
      </c>
      <c r="E184" s="9">
        <f>A185/31</f>
        <v>6882.322581</v>
      </c>
      <c r="F184" s="9">
        <f t="shared" si="22"/>
        <v>0.4333333333</v>
      </c>
      <c r="G184" s="22">
        <f t="shared" si="21"/>
        <v>6817.211685</v>
      </c>
      <c r="H184" s="8"/>
      <c r="I184" s="9">
        <f t="shared" si="2"/>
        <v>27</v>
      </c>
      <c r="J184" s="22">
        <f>SUM(G184:G190)</f>
        <v>47825.66093</v>
      </c>
      <c r="K184" s="22">
        <f t="shared" si="3"/>
        <v>47825.66093</v>
      </c>
      <c r="L184" s="9">
        <f t="shared" si="5"/>
        <v>43643.27869</v>
      </c>
      <c r="M184" s="24">
        <v>43643.27869</v>
      </c>
      <c r="N184" s="25">
        <v>12171.74589</v>
      </c>
      <c r="O184" s="25">
        <v>10937.23533</v>
      </c>
      <c r="P184" s="25">
        <v>2926.361761</v>
      </c>
      <c r="Q184" s="25">
        <v>20708.00419</v>
      </c>
      <c r="R184" s="18"/>
      <c r="S184" s="25">
        <v>11664.3194</v>
      </c>
      <c r="T184" s="25">
        <v>9872.220758</v>
      </c>
      <c r="U184" s="25">
        <v>2532.855851</v>
      </c>
      <c r="V184" s="25">
        <v>18232.48856</v>
      </c>
      <c r="W184" s="25">
        <v>507.4264869</v>
      </c>
      <c r="X184" s="25">
        <v>1065.01457</v>
      </c>
      <c r="Y184" s="25">
        <v>393.50591</v>
      </c>
      <c r="Z184" s="25">
        <v>2475.515626</v>
      </c>
    </row>
    <row r="185">
      <c r="A185" s="20">
        <v>213352.0</v>
      </c>
      <c r="B185" s="19">
        <v>40727.0</v>
      </c>
      <c r="C185" s="20">
        <v>27.0</v>
      </c>
      <c r="D185" s="26">
        <v>184.0</v>
      </c>
      <c r="E185" s="9">
        <f t="shared" ref="E185:E213" si="23">E184</f>
        <v>6882.322581</v>
      </c>
      <c r="F185" s="9">
        <f t="shared" si="22"/>
        <v>0.4</v>
      </c>
      <c r="G185" s="22">
        <f t="shared" si="21"/>
        <v>6822.220215</v>
      </c>
      <c r="H185" s="8"/>
      <c r="I185" s="9">
        <f t="shared" si="2"/>
        <v>27</v>
      </c>
      <c r="J185" s="8"/>
      <c r="K185" s="9" t="str">
        <f t="shared" si="3"/>
        <v/>
      </c>
      <c r="L185" s="9">
        <f t="shared" si="5"/>
        <v>43643.27869</v>
      </c>
      <c r="M185" s="27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>
      <c r="A186" s="28"/>
      <c r="B186" s="19">
        <v>40728.0</v>
      </c>
      <c r="C186" s="20">
        <v>27.0</v>
      </c>
      <c r="D186" s="26">
        <v>185.0</v>
      </c>
      <c r="E186" s="9">
        <f t="shared" si="23"/>
        <v>6882.322581</v>
      </c>
      <c r="F186" s="9">
        <f t="shared" si="22"/>
        <v>0.3666666667</v>
      </c>
      <c r="G186" s="22">
        <f t="shared" si="21"/>
        <v>6827.228746</v>
      </c>
      <c r="H186" s="8"/>
      <c r="I186" s="9">
        <f t="shared" si="2"/>
        <v>27</v>
      </c>
      <c r="J186" s="8"/>
      <c r="K186" s="9" t="str">
        <f t="shared" si="3"/>
        <v/>
      </c>
      <c r="L186" s="9">
        <f t="shared" si="5"/>
        <v>43643.27869</v>
      </c>
      <c r="M186" s="27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>
      <c r="A187" s="28"/>
      <c r="B187" s="19">
        <v>40729.0</v>
      </c>
      <c r="C187" s="20">
        <v>27.0</v>
      </c>
      <c r="D187" s="26">
        <v>186.0</v>
      </c>
      <c r="E187" s="9">
        <f t="shared" si="23"/>
        <v>6882.322581</v>
      </c>
      <c r="F187" s="9">
        <f t="shared" si="22"/>
        <v>0.3333333333</v>
      </c>
      <c r="G187" s="22">
        <f t="shared" si="21"/>
        <v>6832.237276</v>
      </c>
      <c r="H187" s="8"/>
      <c r="I187" s="9">
        <f t="shared" si="2"/>
        <v>27</v>
      </c>
      <c r="J187" s="8"/>
      <c r="K187" s="9" t="str">
        <f t="shared" si="3"/>
        <v/>
      </c>
      <c r="L187" s="9">
        <f t="shared" si="5"/>
        <v>43643.27869</v>
      </c>
      <c r="M187" s="27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>
      <c r="A188" s="28"/>
      <c r="B188" s="19">
        <v>40730.0</v>
      </c>
      <c r="C188" s="20">
        <v>27.0</v>
      </c>
      <c r="D188" s="26">
        <v>187.0</v>
      </c>
      <c r="E188" s="9">
        <f t="shared" si="23"/>
        <v>6882.322581</v>
      </c>
      <c r="F188" s="9">
        <f t="shared" si="22"/>
        <v>0.3</v>
      </c>
      <c r="G188" s="22">
        <f t="shared" si="21"/>
        <v>6837.245806</v>
      </c>
      <c r="H188" s="8"/>
      <c r="I188" s="9">
        <f t="shared" si="2"/>
        <v>27</v>
      </c>
      <c r="J188" s="8"/>
      <c r="K188" s="9" t="str">
        <f t="shared" si="3"/>
        <v/>
      </c>
      <c r="L188" s="9">
        <f t="shared" si="5"/>
        <v>43643.27869</v>
      </c>
      <c r="M188" s="27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>
      <c r="A189" s="28"/>
      <c r="B189" s="19">
        <v>40731.0</v>
      </c>
      <c r="C189" s="20">
        <v>27.0</v>
      </c>
      <c r="D189" s="26">
        <v>188.0</v>
      </c>
      <c r="E189" s="9">
        <f t="shared" si="23"/>
        <v>6882.322581</v>
      </c>
      <c r="F189" s="9">
        <f t="shared" si="22"/>
        <v>0.2666666667</v>
      </c>
      <c r="G189" s="22">
        <f t="shared" si="21"/>
        <v>6842.254337</v>
      </c>
      <c r="H189" s="8"/>
      <c r="I189" s="9">
        <f t="shared" si="2"/>
        <v>27</v>
      </c>
      <c r="J189" s="8"/>
      <c r="K189" s="9" t="str">
        <f t="shared" si="3"/>
        <v/>
      </c>
      <c r="L189" s="9">
        <f t="shared" si="5"/>
        <v>43643.27869</v>
      </c>
      <c r="M189" s="27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>
      <c r="A190" s="28"/>
      <c r="B190" s="19">
        <v>40732.0</v>
      </c>
      <c r="C190" s="20">
        <v>27.0</v>
      </c>
      <c r="D190" s="26">
        <v>189.0</v>
      </c>
      <c r="E190" s="9">
        <f t="shared" si="23"/>
        <v>6882.322581</v>
      </c>
      <c r="F190" s="9">
        <f t="shared" si="22"/>
        <v>0.2333333333</v>
      </c>
      <c r="G190" s="22">
        <f t="shared" si="21"/>
        <v>6847.262867</v>
      </c>
      <c r="H190" s="8"/>
      <c r="I190" s="9">
        <f t="shared" si="2"/>
        <v>27</v>
      </c>
      <c r="J190" s="8"/>
      <c r="K190" s="9" t="str">
        <f t="shared" si="3"/>
        <v/>
      </c>
      <c r="L190" s="9">
        <f t="shared" si="5"/>
        <v>43643.27869</v>
      </c>
      <c r="M190" s="27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>
      <c r="A191" s="28"/>
      <c r="B191" s="19">
        <v>40733.0</v>
      </c>
      <c r="C191" s="20">
        <v>28.0</v>
      </c>
      <c r="D191" s="26">
        <v>190.0</v>
      </c>
      <c r="E191" s="9">
        <f t="shared" si="23"/>
        <v>6882.322581</v>
      </c>
      <c r="F191" s="9">
        <f t="shared" si="22"/>
        <v>0.2</v>
      </c>
      <c r="G191" s="22">
        <f t="shared" si="21"/>
        <v>6852.271398</v>
      </c>
      <c r="H191" s="8"/>
      <c r="I191" s="9">
        <f t="shared" si="2"/>
        <v>28</v>
      </c>
      <c r="J191" s="22">
        <f>SUM(G191:G197)</f>
        <v>48071.07892</v>
      </c>
      <c r="K191" s="22">
        <f t="shared" si="3"/>
        <v>48071.07892</v>
      </c>
      <c r="L191" s="9">
        <f t="shared" si="5"/>
        <v>43643.27869</v>
      </c>
      <c r="M191" s="24">
        <v>43643.27869</v>
      </c>
      <c r="N191" s="25">
        <v>12679.53364</v>
      </c>
      <c r="O191" s="25">
        <v>10903.98028</v>
      </c>
      <c r="P191" s="25">
        <v>2791.528594</v>
      </c>
      <c r="Q191" s="25">
        <v>20842.12368</v>
      </c>
      <c r="R191" s="18"/>
      <c r="S191" s="25">
        <v>12189.20959</v>
      </c>
      <c r="T191" s="25">
        <v>10226.58024</v>
      </c>
      <c r="U191" s="25">
        <v>2580.298622</v>
      </c>
      <c r="V191" s="25">
        <v>19747.08395</v>
      </c>
      <c r="W191" s="25">
        <v>490.3240468</v>
      </c>
      <c r="X191" s="25">
        <v>677.4000438</v>
      </c>
      <c r="Y191" s="25">
        <v>211.2299716</v>
      </c>
      <c r="Z191" s="25">
        <v>1095.039729</v>
      </c>
    </row>
    <row r="192">
      <c r="A192" s="28"/>
      <c r="B192" s="19">
        <v>40734.0</v>
      </c>
      <c r="C192" s="20">
        <v>28.0</v>
      </c>
      <c r="D192" s="26">
        <v>191.0</v>
      </c>
      <c r="E192" s="9">
        <f t="shared" si="23"/>
        <v>6882.322581</v>
      </c>
      <c r="F192" s="9">
        <f t="shared" si="22"/>
        <v>0.1666666667</v>
      </c>
      <c r="G192" s="22">
        <f t="shared" si="21"/>
        <v>6857.279928</v>
      </c>
      <c r="H192" s="8"/>
      <c r="I192" s="9">
        <f t="shared" si="2"/>
        <v>28</v>
      </c>
      <c r="J192" s="8"/>
      <c r="K192" s="9" t="str">
        <f t="shared" si="3"/>
        <v/>
      </c>
      <c r="L192" s="9">
        <f t="shared" si="5"/>
        <v>43643.27869</v>
      </c>
      <c r="M192" s="27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>
      <c r="A193" s="28"/>
      <c r="B193" s="19">
        <v>40735.0</v>
      </c>
      <c r="C193" s="20">
        <v>28.0</v>
      </c>
      <c r="D193" s="26">
        <v>192.0</v>
      </c>
      <c r="E193" s="9">
        <f t="shared" si="23"/>
        <v>6882.322581</v>
      </c>
      <c r="F193" s="9">
        <f t="shared" si="22"/>
        <v>0.1333333333</v>
      </c>
      <c r="G193" s="22">
        <f t="shared" si="21"/>
        <v>6862.288459</v>
      </c>
      <c r="H193" s="8"/>
      <c r="I193" s="9">
        <f t="shared" si="2"/>
        <v>28</v>
      </c>
      <c r="J193" s="8"/>
      <c r="K193" s="9" t="str">
        <f t="shared" si="3"/>
        <v/>
      </c>
      <c r="L193" s="9">
        <f t="shared" si="5"/>
        <v>43643.27869</v>
      </c>
      <c r="M193" s="27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>
      <c r="A194" s="28"/>
      <c r="B194" s="19">
        <v>40736.0</v>
      </c>
      <c r="C194" s="20">
        <v>28.0</v>
      </c>
      <c r="D194" s="26">
        <v>193.0</v>
      </c>
      <c r="E194" s="9">
        <f t="shared" si="23"/>
        <v>6882.322581</v>
      </c>
      <c r="F194" s="9">
        <f t="shared" si="22"/>
        <v>0.1</v>
      </c>
      <c r="G194" s="22">
        <f t="shared" si="21"/>
        <v>6867.296989</v>
      </c>
      <c r="H194" s="8"/>
      <c r="I194" s="9">
        <f t="shared" si="2"/>
        <v>28</v>
      </c>
      <c r="J194" s="8"/>
      <c r="K194" s="9" t="str">
        <f t="shared" si="3"/>
        <v/>
      </c>
      <c r="L194" s="9">
        <f t="shared" si="5"/>
        <v>43643.27869</v>
      </c>
      <c r="M194" s="27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>
      <c r="A195" s="28"/>
      <c r="B195" s="19">
        <v>40737.0</v>
      </c>
      <c r="C195" s="20">
        <v>28.0</v>
      </c>
      <c r="D195" s="26">
        <v>194.0</v>
      </c>
      <c r="E195" s="9">
        <f t="shared" si="23"/>
        <v>6882.322581</v>
      </c>
      <c r="F195" s="9">
        <f t="shared" si="22"/>
        <v>0.06666666667</v>
      </c>
      <c r="G195" s="22">
        <f t="shared" si="21"/>
        <v>6872.30552</v>
      </c>
      <c r="H195" s="8"/>
      <c r="I195" s="9">
        <f t="shared" si="2"/>
        <v>28</v>
      </c>
      <c r="J195" s="8"/>
      <c r="K195" s="9" t="str">
        <f t="shared" si="3"/>
        <v/>
      </c>
      <c r="L195" s="9">
        <f t="shared" si="5"/>
        <v>43643.27869</v>
      </c>
      <c r="M195" s="27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>
      <c r="A196" s="28"/>
      <c r="B196" s="19">
        <v>40738.0</v>
      </c>
      <c r="C196" s="20">
        <v>28.0</v>
      </c>
      <c r="D196" s="26">
        <v>195.0</v>
      </c>
      <c r="E196" s="9">
        <f t="shared" si="23"/>
        <v>6882.322581</v>
      </c>
      <c r="F196" s="9">
        <f t="shared" si="22"/>
        <v>0.03333333333</v>
      </c>
      <c r="G196" s="22">
        <f t="shared" si="21"/>
        <v>6877.31405</v>
      </c>
      <c r="H196" s="8"/>
      <c r="I196" s="9">
        <f t="shared" si="2"/>
        <v>28</v>
      </c>
      <c r="J196" s="8"/>
      <c r="K196" s="9" t="str">
        <f t="shared" si="3"/>
        <v/>
      </c>
      <c r="L196" s="9">
        <f t="shared" si="5"/>
        <v>43643.27869</v>
      </c>
      <c r="M196" s="27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>
      <c r="A197" s="28"/>
      <c r="B197" s="19">
        <v>40739.0</v>
      </c>
      <c r="C197" s="20">
        <v>28.0</v>
      </c>
      <c r="D197" s="26">
        <v>196.0</v>
      </c>
      <c r="E197" s="9">
        <f t="shared" si="23"/>
        <v>6882.322581</v>
      </c>
      <c r="F197" s="9">
        <f t="shared" si="22"/>
        <v>0</v>
      </c>
      <c r="G197" s="22">
        <f t="shared" si="21"/>
        <v>6882.322581</v>
      </c>
      <c r="H197" s="8"/>
      <c r="I197" s="9">
        <f t="shared" si="2"/>
        <v>28</v>
      </c>
      <c r="J197" s="8"/>
      <c r="K197" s="9" t="str">
        <f t="shared" si="3"/>
        <v/>
      </c>
      <c r="L197" s="9">
        <f t="shared" si="5"/>
        <v>43643.27869</v>
      </c>
      <c r="M197" s="27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>
      <c r="A198" s="13"/>
      <c r="B198" s="19">
        <v>40740.0</v>
      </c>
      <c r="C198" s="20">
        <v>29.0</v>
      </c>
      <c r="D198" s="26">
        <v>197.0</v>
      </c>
      <c r="E198" s="9">
        <f t="shared" si="23"/>
        <v>6882.322581</v>
      </c>
      <c r="F198" s="9">
        <f t="shared" ref="F198:F228" si="24">abs((D198-227)/(227-196))</f>
        <v>0.9677419355</v>
      </c>
      <c r="G198" s="22">
        <f t="shared" ref="G198:G258" si="25">E183*F198+(1-F198)*E214</f>
        <v>6882.336108</v>
      </c>
      <c r="H198" s="8"/>
      <c r="I198" s="9">
        <f t="shared" si="2"/>
        <v>29</v>
      </c>
      <c r="J198" s="22">
        <f>SUM(G198:G204)</f>
        <v>48176.63684</v>
      </c>
      <c r="K198" s="22">
        <f t="shared" si="3"/>
        <v>48176.63684</v>
      </c>
      <c r="L198" s="9">
        <f t="shared" si="5"/>
        <v>43643.27869</v>
      </c>
      <c r="M198" s="24">
        <v>43643.27869</v>
      </c>
      <c r="N198" s="25">
        <v>12399.66782</v>
      </c>
      <c r="O198" s="25">
        <v>11385.7159</v>
      </c>
      <c r="P198" s="25">
        <v>3049.324195</v>
      </c>
      <c r="Q198" s="25">
        <v>21271.159</v>
      </c>
      <c r="R198" s="18"/>
      <c r="S198" s="25">
        <v>12092.7128</v>
      </c>
      <c r="T198" s="25">
        <v>10681.53817</v>
      </c>
      <c r="U198" s="25">
        <v>2638.020033</v>
      </c>
      <c r="V198" s="25">
        <v>19906.79871</v>
      </c>
      <c r="W198" s="25">
        <v>306.9550234</v>
      </c>
      <c r="X198" s="25">
        <v>704.1777325</v>
      </c>
      <c r="Y198" s="25">
        <v>411.3041623</v>
      </c>
      <c r="Z198" s="25">
        <v>1364.360293</v>
      </c>
    </row>
    <row r="199">
      <c r="A199" s="13"/>
      <c r="B199" s="19">
        <v>40741.0</v>
      </c>
      <c r="C199" s="20">
        <v>29.0</v>
      </c>
      <c r="D199" s="26">
        <v>198.0</v>
      </c>
      <c r="E199" s="9">
        <f t="shared" si="23"/>
        <v>6882.322581</v>
      </c>
      <c r="F199" s="9">
        <f t="shared" si="24"/>
        <v>0.935483871</v>
      </c>
      <c r="G199" s="22">
        <f t="shared" si="25"/>
        <v>6882.349636</v>
      </c>
      <c r="H199" s="8"/>
      <c r="I199" s="9">
        <f t="shared" si="2"/>
        <v>29</v>
      </c>
      <c r="J199" s="8"/>
      <c r="K199" s="9" t="str">
        <f t="shared" si="3"/>
        <v/>
      </c>
      <c r="L199" s="9">
        <f t="shared" si="5"/>
        <v>43643.27869</v>
      </c>
      <c r="M199" s="27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>
      <c r="A200" s="28"/>
      <c r="B200" s="19">
        <v>40742.0</v>
      </c>
      <c r="C200" s="20">
        <v>29.0</v>
      </c>
      <c r="D200" s="26">
        <v>199.0</v>
      </c>
      <c r="E200" s="9">
        <f t="shared" si="23"/>
        <v>6882.322581</v>
      </c>
      <c r="F200" s="9">
        <f t="shared" si="24"/>
        <v>0.9032258065</v>
      </c>
      <c r="G200" s="22">
        <f t="shared" si="25"/>
        <v>6882.363163</v>
      </c>
      <c r="H200" s="8"/>
      <c r="I200" s="9">
        <f t="shared" si="2"/>
        <v>29</v>
      </c>
      <c r="J200" s="8"/>
      <c r="K200" s="9" t="str">
        <f t="shared" si="3"/>
        <v/>
      </c>
      <c r="L200" s="9">
        <f t="shared" si="5"/>
        <v>43643.27869</v>
      </c>
      <c r="M200" s="27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>
      <c r="A201" s="28"/>
      <c r="B201" s="19">
        <v>40743.0</v>
      </c>
      <c r="C201" s="20">
        <v>29.0</v>
      </c>
      <c r="D201" s="26">
        <v>200.0</v>
      </c>
      <c r="E201" s="9">
        <f t="shared" si="23"/>
        <v>6882.322581</v>
      </c>
      <c r="F201" s="9">
        <f t="shared" si="24"/>
        <v>0.8709677419</v>
      </c>
      <c r="G201" s="22">
        <f t="shared" si="25"/>
        <v>6882.376691</v>
      </c>
      <c r="H201" s="8"/>
      <c r="I201" s="9">
        <f t="shared" si="2"/>
        <v>29</v>
      </c>
      <c r="J201" s="8"/>
      <c r="K201" s="9" t="str">
        <f t="shared" si="3"/>
        <v/>
      </c>
      <c r="L201" s="9">
        <f t="shared" si="5"/>
        <v>43643.27869</v>
      </c>
      <c r="M201" s="27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>
      <c r="A202" s="28"/>
      <c r="B202" s="19">
        <v>40744.0</v>
      </c>
      <c r="C202" s="20">
        <v>29.0</v>
      </c>
      <c r="D202" s="26">
        <v>201.0</v>
      </c>
      <c r="E202" s="9">
        <f t="shared" si="23"/>
        <v>6882.322581</v>
      </c>
      <c r="F202" s="9">
        <f t="shared" si="24"/>
        <v>0.8387096774</v>
      </c>
      <c r="G202" s="22">
        <f t="shared" si="25"/>
        <v>6882.390219</v>
      </c>
      <c r="H202" s="8"/>
      <c r="I202" s="9">
        <f t="shared" si="2"/>
        <v>29</v>
      </c>
      <c r="J202" s="8"/>
      <c r="K202" s="9" t="str">
        <f t="shared" si="3"/>
        <v/>
      </c>
      <c r="L202" s="9">
        <f t="shared" si="5"/>
        <v>43643.27869</v>
      </c>
      <c r="M202" s="27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>
      <c r="A203" s="28"/>
      <c r="B203" s="19">
        <v>40745.0</v>
      </c>
      <c r="C203" s="20">
        <v>29.0</v>
      </c>
      <c r="D203" s="26">
        <v>202.0</v>
      </c>
      <c r="E203" s="9">
        <f t="shared" si="23"/>
        <v>6882.322581</v>
      </c>
      <c r="F203" s="9">
        <f t="shared" si="24"/>
        <v>0.8064516129</v>
      </c>
      <c r="G203" s="22">
        <f t="shared" si="25"/>
        <v>6882.403746</v>
      </c>
      <c r="H203" s="8"/>
      <c r="I203" s="9">
        <f t="shared" si="2"/>
        <v>29</v>
      </c>
      <c r="J203" s="8"/>
      <c r="K203" s="9" t="str">
        <f t="shared" si="3"/>
        <v/>
      </c>
      <c r="L203" s="9">
        <f t="shared" si="5"/>
        <v>43643.27869</v>
      </c>
      <c r="M203" s="27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>
      <c r="A204" s="28"/>
      <c r="B204" s="19">
        <v>40746.0</v>
      </c>
      <c r="C204" s="20">
        <v>29.0</v>
      </c>
      <c r="D204" s="26">
        <v>203.0</v>
      </c>
      <c r="E204" s="9">
        <f t="shared" si="23"/>
        <v>6882.322581</v>
      </c>
      <c r="F204" s="9">
        <f t="shared" si="24"/>
        <v>0.7741935484</v>
      </c>
      <c r="G204" s="22">
        <f t="shared" si="25"/>
        <v>6882.417274</v>
      </c>
      <c r="H204" s="8"/>
      <c r="I204" s="9">
        <f t="shared" si="2"/>
        <v>29</v>
      </c>
      <c r="J204" s="8"/>
      <c r="K204" s="9" t="str">
        <f t="shared" si="3"/>
        <v/>
      </c>
      <c r="L204" s="9">
        <f t="shared" si="5"/>
        <v>43643.27869</v>
      </c>
      <c r="M204" s="27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>
      <c r="A205" s="28"/>
      <c r="B205" s="19">
        <v>40747.0</v>
      </c>
      <c r="C205" s="20">
        <v>30.0</v>
      </c>
      <c r="D205" s="26">
        <v>204.0</v>
      </c>
      <c r="E205" s="9">
        <f t="shared" si="23"/>
        <v>6882.322581</v>
      </c>
      <c r="F205" s="9">
        <f t="shared" si="24"/>
        <v>0.7419354839</v>
      </c>
      <c r="G205" s="22">
        <f t="shared" si="25"/>
        <v>6882.430801</v>
      </c>
      <c r="H205" s="8"/>
      <c r="I205" s="9">
        <f t="shared" si="2"/>
        <v>30</v>
      </c>
      <c r="J205" s="22">
        <f>SUM(G205:G211)</f>
        <v>48177.29969</v>
      </c>
      <c r="K205" s="22">
        <f t="shared" si="3"/>
        <v>48177.29969</v>
      </c>
      <c r="L205" s="9">
        <f t="shared" si="5"/>
        <v>43643.27869</v>
      </c>
      <c r="M205" s="24">
        <v>43643.27869</v>
      </c>
      <c r="N205" s="25">
        <v>13087.38196</v>
      </c>
      <c r="O205" s="25">
        <v>11650.21807</v>
      </c>
      <c r="P205" s="25">
        <v>2896.208723</v>
      </c>
      <c r="Q205" s="25">
        <v>20704.00658</v>
      </c>
      <c r="R205" s="18"/>
      <c r="S205" s="25">
        <v>12023.62156</v>
      </c>
      <c r="T205" s="25">
        <v>10250.9437</v>
      </c>
      <c r="U205" s="25">
        <v>2650.560848</v>
      </c>
      <c r="V205" s="25">
        <v>18583.23113</v>
      </c>
      <c r="W205" s="25">
        <v>1063.760401</v>
      </c>
      <c r="X205" s="25">
        <v>1399.274361</v>
      </c>
      <c r="Y205" s="25">
        <v>245.6478746</v>
      </c>
      <c r="Z205" s="25">
        <v>2120.775457</v>
      </c>
    </row>
    <row r="206">
      <c r="A206" s="28"/>
      <c r="B206" s="19">
        <v>40748.0</v>
      </c>
      <c r="C206" s="20">
        <v>30.0</v>
      </c>
      <c r="D206" s="26">
        <v>205.0</v>
      </c>
      <c r="E206" s="9">
        <f t="shared" si="23"/>
        <v>6882.322581</v>
      </c>
      <c r="F206" s="9">
        <f t="shared" si="24"/>
        <v>0.7096774194</v>
      </c>
      <c r="G206" s="22">
        <f t="shared" si="25"/>
        <v>6882.444329</v>
      </c>
      <c r="H206" s="8"/>
      <c r="I206" s="9">
        <f t="shared" si="2"/>
        <v>30</v>
      </c>
      <c r="J206" s="8"/>
      <c r="K206" s="9" t="str">
        <f t="shared" si="3"/>
        <v/>
      </c>
      <c r="L206" s="9">
        <f t="shared" si="5"/>
        <v>43643.27869</v>
      </c>
      <c r="M206" s="27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>
      <c r="A207" s="28"/>
      <c r="B207" s="19">
        <v>40749.0</v>
      </c>
      <c r="C207" s="20">
        <v>30.0</v>
      </c>
      <c r="D207" s="26">
        <v>206.0</v>
      </c>
      <c r="E207" s="9">
        <f t="shared" si="23"/>
        <v>6882.322581</v>
      </c>
      <c r="F207" s="9">
        <f t="shared" si="24"/>
        <v>0.6774193548</v>
      </c>
      <c r="G207" s="22">
        <f t="shared" si="25"/>
        <v>6882.457856</v>
      </c>
      <c r="H207" s="8"/>
      <c r="I207" s="9">
        <f t="shared" si="2"/>
        <v>30</v>
      </c>
      <c r="J207" s="8"/>
      <c r="K207" s="9" t="str">
        <f t="shared" si="3"/>
        <v/>
      </c>
      <c r="L207" s="9">
        <f t="shared" si="5"/>
        <v>43643.27869</v>
      </c>
      <c r="M207" s="27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>
      <c r="A208" s="28"/>
      <c r="B208" s="19">
        <v>40750.0</v>
      </c>
      <c r="C208" s="20">
        <v>30.0</v>
      </c>
      <c r="D208" s="26">
        <v>207.0</v>
      </c>
      <c r="E208" s="9">
        <f t="shared" si="23"/>
        <v>6882.322581</v>
      </c>
      <c r="F208" s="9">
        <f t="shared" si="24"/>
        <v>0.6451612903</v>
      </c>
      <c r="G208" s="22">
        <f t="shared" si="25"/>
        <v>6882.471384</v>
      </c>
      <c r="H208" s="8"/>
      <c r="I208" s="9">
        <f t="shared" si="2"/>
        <v>30</v>
      </c>
      <c r="J208" s="8"/>
      <c r="K208" s="9" t="str">
        <f t="shared" si="3"/>
        <v/>
      </c>
      <c r="L208" s="9">
        <f t="shared" si="5"/>
        <v>43643.27869</v>
      </c>
      <c r="M208" s="27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>
      <c r="A209" s="28"/>
      <c r="B209" s="19">
        <v>40751.0</v>
      </c>
      <c r="C209" s="20">
        <v>30.0</v>
      </c>
      <c r="D209" s="26">
        <v>208.0</v>
      </c>
      <c r="E209" s="9">
        <f t="shared" si="23"/>
        <v>6882.322581</v>
      </c>
      <c r="F209" s="9">
        <f t="shared" si="24"/>
        <v>0.6129032258</v>
      </c>
      <c r="G209" s="22">
        <f t="shared" si="25"/>
        <v>6882.484912</v>
      </c>
      <c r="H209" s="8"/>
      <c r="I209" s="9">
        <f t="shared" si="2"/>
        <v>30</v>
      </c>
      <c r="J209" s="8"/>
      <c r="K209" s="9" t="str">
        <f t="shared" si="3"/>
        <v/>
      </c>
      <c r="L209" s="9">
        <f t="shared" si="5"/>
        <v>43643.27869</v>
      </c>
      <c r="M209" s="27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>
      <c r="A210" s="28"/>
      <c r="B210" s="19">
        <v>40752.0</v>
      </c>
      <c r="C210" s="20">
        <v>30.0</v>
      </c>
      <c r="D210" s="26">
        <v>209.0</v>
      </c>
      <c r="E210" s="9">
        <f t="shared" si="23"/>
        <v>6882.322581</v>
      </c>
      <c r="F210" s="9">
        <f t="shared" si="24"/>
        <v>0.5806451613</v>
      </c>
      <c r="G210" s="22">
        <f t="shared" si="25"/>
        <v>6882.498439</v>
      </c>
      <c r="H210" s="8"/>
      <c r="I210" s="9">
        <f t="shared" si="2"/>
        <v>30</v>
      </c>
      <c r="J210" s="8"/>
      <c r="K210" s="9" t="str">
        <f t="shared" si="3"/>
        <v/>
      </c>
      <c r="L210" s="9">
        <f t="shared" si="5"/>
        <v>43643.27869</v>
      </c>
      <c r="M210" s="27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>
      <c r="A211" s="28"/>
      <c r="B211" s="19">
        <v>40753.0</v>
      </c>
      <c r="C211" s="20">
        <v>30.0</v>
      </c>
      <c r="D211" s="26">
        <v>210.0</v>
      </c>
      <c r="E211" s="9">
        <f t="shared" si="23"/>
        <v>6882.322581</v>
      </c>
      <c r="F211" s="9">
        <f t="shared" si="24"/>
        <v>0.5483870968</v>
      </c>
      <c r="G211" s="22">
        <f t="shared" si="25"/>
        <v>6882.511967</v>
      </c>
      <c r="H211" s="8"/>
      <c r="I211" s="9">
        <f t="shared" si="2"/>
        <v>30</v>
      </c>
      <c r="J211" s="8"/>
      <c r="K211" s="9" t="str">
        <f t="shared" si="3"/>
        <v/>
      </c>
      <c r="L211" s="9">
        <f t="shared" si="5"/>
        <v>43643.27869</v>
      </c>
      <c r="M211" s="27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>
      <c r="A212" s="28"/>
      <c r="B212" s="19">
        <v>40754.0</v>
      </c>
      <c r="C212" s="20">
        <v>31.0</v>
      </c>
      <c r="D212" s="26">
        <v>211.0</v>
      </c>
      <c r="E212" s="9">
        <f t="shared" si="23"/>
        <v>6882.322581</v>
      </c>
      <c r="F212" s="9">
        <f t="shared" si="24"/>
        <v>0.5161290323</v>
      </c>
      <c r="G212" s="22">
        <f t="shared" si="25"/>
        <v>6882.525494</v>
      </c>
      <c r="H212" s="8"/>
      <c r="I212" s="9">
        <f t="shared" si="2"/>
        <v>31</v>
      </c>
      <c r="J212" s="22">
        <f>SUM(G212:G218)</f>
        <v>48177.96254</v>
      </c>
      <c r="K212" s="22">
        <f t="shared" si="3"/>
        <v>48177.96254</v>
      </c>
      <c r="L212" s="9">
        <f t="shared" si="5"/>
        <v>43643.27869</v>
      </c>
      <c r="M212" s="24">
        <v>43643.27869</v>
      </c>
      <c r="N212" s="25">
        <v>13078.57185</v>
      </c>
      <c r="O212" s="25">
        <v>11338.86478</v>
      </c>
      <c r="P212" s="25">
        <v>2996.805219</v>
      </c>
      <c r="Q212" s="25">
        <v>21512.58874</v>
      </c>
      <c r="R212" s="18"/>
      <c r="S212" s="25">
        <v>12191.37354</v>
      </c>
      <c r="T212" s="25">
        <v>10271.46808</v>
      </c>
      <c r="U212" s="25">
        <v>2686.845452</v>
      </c>
      <c r="V212" s="25">
        <v>19297.60592</v>
      </c>
      <c r="W212" s="25">
        <v>887.1983073</v>
      </c>
      <c r="X212" s="25">
        <v>1067.396704</v>
      </c>
      <c r="Y212" s="25">
        <v>309.959767</v>
      </c>
      <c r="Z212" s="25">
        <v>2214.982814</v>
      </c>
    </row>
    <row r="213">
      <c r="A213" s="28"/>
      <c r="B213" s="19">
        <v>40755.0</v>
      </c>
      <c r="C213" s="20">
        <v>31.0</v>
      </c>
      <c r="D213" s="26">
        <v>212.0</v>
      </c>
      <c r="E213" s="9">
        <f t="shared" si="23"/>
        <v>6882.322581</v>
      </c>
      <c r="F213" s="9">
        <f t="shared" si="24"/>
        <v>0.4838709677</v>
      </c>
      <c r="G213" s="22">
        <f t="shared" si="25"/>
        <v>6882.539022</v>
      </c>
      <c r="H213" s="8"/>
      <c r="I213" s="9">
        <f t="shared" si="2"/>
        <v>31</v>
      </c>
      <c r="J213" s="8"/>
      <c r="K213" s="9" t="str">
        <f t="shared" si="3"/>
        <v/>
      </c>
      <c r="L213" s="9">
        <f t="shared" si="5"/>
        <v>43643.27869</v>
      </c>
      <c r="M213" s="27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>
      <c r="A214" s="28"/>
      <c r="B214" s="19">
        <v>40756.0</v>
      </c>
      <c r="C214" s="20">
        <v>31.0</v>
      </c>
      <c r="D214" s="26">
        <v>213.0</v>
      </c>
      <c r="E214" s="9">
        <f>A216/31</f>
        <v>6882.741935</v>
      </c>
      <c r="F214" s="9">
        <f t="shared" si="24"/>
        <v>0.4516129032</v>
      </c>
      <c r="G214" s="22">
        <f t="shared" si="25"/>
        <v>6882.552549</v>
      </c>
      <c r="H214" s="8"/>
      <c r="I214" s="9">
        <f t="shared" si="2"/>
        <v>31</v>
      </c>
      <c r="J214" s="8"/>
      <c r="K214" s="9" t="str">
        <f t="shared" si="3"/>
        <v/>
      </c>
      <c r="L214" s="9">
        <f t="shared" si="5"/>
        <v>43643.27869</v>
      </c>
      <c r="M214" s="27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>
      <c r="A215" s="13" t="s">
        <v>71</v>
      </c>
      <c r="B215" s="19">
        <v>40757.0</v>
      </c>
      <c r="C215" s="20">
        <v>31.0</v>
      </c>
      <c r="D215" s="26">
        <v>214.0</v>
      </c>
      <c r="E215" s="9">
        <f>A216/31</f>
        <v>6882.741935</v>
      </c>
      <c r="F215" s="9">
        <f t="shared" si="24"/>
        <v>0.4193548387</v>
      </c>
      <c r="G215" s="22">
        <f t="shared" si="25"/>
        <v>6882.566077</v>
      </c>
      <c r="H215" s="8"/>
      <c r="I215" s="9">
        <f t="shared" si="2"/>
        <v>31</v>
      </c>
      <c r="J215" s="8"/>
      <c r="K215" s="9" t="str">
        <f t="shared" si="3"/>
        <v/>
      </c>
      <c r="L215" s="9">
        <f t="shared" si="5"/>
        <v>43643.27869</v>
      </c>
      <c r="M215" s="27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>
      <c r="A216" s="20">
        <v>213365.0</v>
      </c>
      <c r="B216" s="19">
        <v>40758.0</v>
      </c>
      <c r="C216" s="20">
        <v>31.0</v>
      </c>
      <c r="D216" s="26">
        <v>215.0</v>
      </c>
      <c r="E216" s="9">
        <f t="shared" ref="E216:E244" si="26">E215</f>
        <v>6882.741935</v>
      </c>
      <c r="F216" s="9">
        <f t="shared" si="24"/>
        <v>0.3870967742</v>
      </c>
      <c r="G216" s="22">
        <f t="shared" si="25"/>
        <v>6882.579605</v>
      </c>
      <c r="H216" s="8"/>
      <c r="I216" s="9">
        <f t="shared" si="2"/>
        <v>31</v>
      </c>
      <c r="J216" s="8"/>
      <c r="K216" s="9" t="str">
        <f t="shared" si="3"/>
        <v/>
      </c>
      <c r="L216" s="9">
        <f t="shared" si="5"/>
        <v>43643.27869</v>
      </c>
      <c r="M216" s="27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>
      <c r="A217" s="28"/>
      <c r="B217" s="19">
        <v>40759.0</v>
      </c>
      <c r="C217" s="20">
        <v>31.0</v>
      </c>
      <c r="D217" s="26">
        <v>216.0</v>
      </c>
      <c r="E217" s="9">
        <f t="shared" si="26"/>
        <v>6882.741935</v>
      </c>
      <c r="F217" s="9">
        <f t="shared" si="24"/>
        <v>0.3548387097</v>
      </c>
      <c r="G217" s="22">
        <f t="shared" si="25"/>
        <v>6882.593132</v>
      </c>
      <c r="H217" s="8"/>
      <c r="I217" s="9">
        <f t="shared" si="2"/>
        <v>31</v>
      </c>
      <c r="J217" s="8"/>
      <c r="K217" s="9" t="str">
        <f t="shared" si="3"/>
        <v/>
      </c>
      <c r="L217" s="9">
        <f t="shared" si="5"/>
        <v>43643.27869</v>
      </c>
      <c r="M217" s="27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>
      <c r="A218" s="28"/>
      <c r="B218" s="19">
        <v>40760.0</v>
      </c>
      <c r="C218" s="20">
        <v>31.0</v>
      </c>
      <c r="D218" s="26">
        <v>217.0</v>
      </c>
      <c r="E218" s="9">
        <f t="shared" si="26"/>
        <v>6882.741935</v>
      </c>
      <c r="F218" s="9">
        <f t="shared" si="24"/>
        <v>0.3225806452</v>
      </c>
      <c r="G218" s="22">
        <f t="shared" si="25"/>
        <v>6882.60666</v>
      </c>
      <c r="H218" s="8"/>
      <c r="I218" s="9">
        <f t="shared" si="2"/>
        <v>31</v>
      </c>
      <c r="J218" s="8"/>
      <c r="K218" s="9" t="str">
        <f t="shared" si="3"/>
        <v/>
      </c>
      <c r="L218" s="9">
        <f t="shared" si="5"/>
        <v>43643.27869</v>
      </c>
      <c r="M218" s="27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>
      <c r="A219" s="28"/>
      <c r="B219" s="19">
        <v>40761.0</v>
      </c>
      <c r="C219" s="20">
        <v>32.0</v>
      </c>
      <c r="D219" s="26">
        <v>218.0</v>
      </c>
      <c r="E219" s="9">
        <f t="shared" si="26"/>
        <v>6882.741935</v>
      </c>
      <c r="F219" s="9">
        <f t="shared" si="24"/>
        <v>0.2903225806</v>
      </c>
      <c r="G219" s="22">
        <f t="shared" si="25"/>
        <v>6882.620187</v>
      </c>
      <c r="H219" s="8"/>
      <c r="I219" s="9">
        <f t="shared" si="2"/>
        <v>32</v>
      </c>
      <c r="J219" s="22">
        <f>SUM(G219:G225)</f>
        <v>48178.62539</v>
      </c>
      <c r="K219" s="22">
        <f t="shared" si="3"/>
        <v>48178.62539</v>
      </c>
      <c r="L219" s="9">
        <f t="shared" si="5"/>
        <v>43643.27869</v>
      </c>
      <c r="M219" s="24">
        <v>43643.27869</v>
      </c>
      <c r="N219" s="25">
        <v>13269.84603</v>
      </c>
      <c r="O219" s="25">
        <v>11610.55321</v>
      </c>
      <c r="P219" s="25">
        <v>2790.03798</v>
      </c>
      <c r="Q219" s="25">
        <v>21658.59082</v>
      </c>
      <c r="R219" s="18"/>
      <c r="S219" s="25">
        <v>11215.67643</v>
      </c>
      <c r="T219" s="25">
        <v>10105.13523</v>
      </c>
      <c r="U219" s="25">
        <v>2600.245385</v>
      </c>
      <c r="V219" s="25">
        <v>18088.80894</v>
      </c>
      <c r="W219" s="25">
        <v>2054.169596</v>
      </c>
      <c r="X219" s="25">
        <v>1505.417972</v>
      </c>
      <c r="Y219" s="25">
        <v>189.7925954</v>
      </c>
      <c r="Z219" s="25">
        <v>3569.781879</v>
      </c>
    </row>
    <row r="220">
      <c r="A220" s="28"/>
      <c r="B220" s="19">
        <v>40762.0</v>
      </c>
      <c r="C220" s="20">
        <v>32.0</v>
      </c>
      <c r="D220" s="26">
        <v>219.0</v>
      </c>
      <c r="E220" s="9">
        <f t="shared" si="26"/>
        <v>6882.741935</v>
      </c>
      <c r="F220" s="9">
        <f t="shared" si="24"/>
        <v>0.2580645161</v>
      </c>
      <c r="G220" s="22">
        <f t="shared" si="25"/>
        <v>6882.633715</v>
      </c>
      <c r="H220" s="8"/>
      <c r="I220" s="9">
        <f t="shared" si="2"/>
        <v>32</v>
      </c>
      <c r="J220" s="8"/>
      <c r="K220" s="9" t="str">
        <f t="shared" si="3"/>
        <v/>
      </c>
      <c r="L220" s="9">
        <f t="shared" si="5"/>
        <v>43643.27869</v>
      </c>
      <c r="M220" s="27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>
      <c r="A221" s="28"/>
      <c r="B221" s="19">
        <v>40763.0</v>
      </c>
      <c r="C221" s="20">
        <v>32.0</v>
      </c>
      <c r="D221" s="26">
        <v>220.0</v>
      </c>
      <c r="E221" s="9">
        <f t="shared" si="26"/>
        <v>6882.741935</v>
      </c>
      <c r="F221" s="9">
        <f t="shared" si="24"/>
        <v>0.2258064516</v>
      </c>
      <c r="G221" s="22">
        <f t="shared" si="25"/>
        <v>6882.647242</v>
      </c>
      <c r="H221" s="8"/>
      <c r="I221" s="9">
        <f t="shared" si="2"/>
        <v>32</v>
      </c>
      <c r="J221" s="8"/>
      <c r="K221" s="9" t="str">
        <f t="shared" si="3"/>
        <v/>
      </c>
      <c r="L221" s="9">
        <f t="shared" si="5"/>
        <v>43643.27869</v>
      </c>
      <c r="M221" s="27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>
      <c r="A222" s="28"/>
      <c r="B222" s="19">
        <v>40764.0</v>
      </c>
      <c r="C222" s="20">
        <v>32.0</v>
      </c>
      <c r="D222" s="26">
        <v>221.0</v>
      </c>
      <c r="E222" s="9">
        <f t="shared" si="26"/>
        <v>6882.741935</v>
      </c>
      <c r="F222" s="9">
        <f t="shared" si="24"/>
        <v>0.1935483871</v>
      </c>
      <c r="G222" s="22">
        <f t="shared" si="25"/>
        <v>6882.66077</v>
      </c>
      <c r="H222" s="8"/>
      <c r="I222" s="9">
        <f t="shared" si="2"/>
        <v>32</v>
      </c>
      <c r="J222" s="8"/>
      <c r="K222" s="9" t="str">
        <f t="shared" si="3"/>
        <v/>
      </c>
      <c r="L222" s="9">
        <f t="shared" si="5"/>
        <v>43643.27869</v>
      </c>
      <c r="M222" s="27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>
      <c r="A223" s="28"/>
      <c r="B223" s="19">
        <v>40765.0</v>
      </c>
      <c r="C223" s="20">
        <v>32.0</v>
      </c>
      <c r="D223" s="26">
        <v>222.0</v>
      </c>
      <c r="E223" s="9">
        <f t="shared" si="26"/>
        <v>6882.741935</v>
      </c>
      <c r="F223" s="9">
        <f t="shared" si="24"/>
        <v>0.1612903226</v>
      </c>
      <c r="G223" s="22">
        <f t="shared" si="25"/>
        <v>6882.674298</v>
      </c>
      <c r="H223" s="8"/>
      <c r="I223" s="9">
        <f t="shared" si="2"/>
        <v>32</v>
      </c>
      <c r="J223" s="8"/>
      <c r="K223" s="9" t="str">
        <f t="shared" si="3"/>
        <v/>
      </c>
      <c r="L223" s="9">
        <f t="shared" si="5"/>
        <v>43643.27869</v>
      </c>
      <c r="M223" s="27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>
      <c r="A224" s="28"/>
      <c r="B224" s="19">
        <v>40766.0</v>
      </c>
      <c r="C224" s="20">
        <v>32.0</v>
      </c>
      <c r="D224" s="26">
        <v>223.0</v>
      </c>
      <c r="E224" s="9">
        <f t="shared" si="26"/>
        <v>6882.741935</v>
      </c>
      <c r="F224" s="9">
        <f t="shared" si="24"/>
        <v>0.1290322581</v>
      </c>
      <c r="G224" s="22">
        <f t="shared" si="25"/>
        <v>6882.687825</v>
      </c>
      <c r="H224" s="8"/>
      <c r="I224" s="9">
        <f t="shared" si="2"/>
        <v>32</v>
      </c>
      <c r="J224" s="8"/>
      <c r="K224" s="9" t="str">
        <f t="shared" si="3"/>
        <v/>
      </c>
      <c r="L224" s="9">
        <f t="shared" si="5"/>
        <v>43643.27869</v>
      </c>
      <c r="M224" s="27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>
      <c r="A225" s="28"/>
      <c r="B225" s="19">
        <v>40767.0</v>
      </c>
      <c r="C225" s="20">
        <v>32.0</v>
      </c>
      <c r="D225" s="26">
        <v>224.0</v>
      </c>
      <c r="E225" s="9">
        <f t="shared" si="26"/>
        <v>6882.741935</v>
      </c>
      <c r="F225" s="9">
        <f t="shared" si="24"/>
        <v>0.09677419355</v>
      </c>
      <c r="G225" s="22">
        <f t="shared" si="25"/>
        <v>6882.701353</v>
      </c>
      <c r="H225" s="8"/>
      <c r="I225" s="9">
        <f t="shared" si="2"/>
        <v>32</v>
      </c>
      <c r="J225" s="8"/>
      <c r="K225" s="9" t="str">
        <f t="shared" si="3"/>
        <v/>
      </c>
      <c r="L225" s="9">
        <f t="shared" si="5"/>
        <v>43643.27869</v>
      </c>
      <c r="M225" s="27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>
      <c r="A226" s="28"/>
      <c r="B226" s="19">
        <v>40768.0</v>
      </c>
      <c r="C226" s="20">
        <v>33.0</v>
      </c>
      <c r="D226" s="26">
        <v>225.0</v>
      </c>
      <c r="E226" s="9">
        <f t="shared" si="26"/>
        <v>6882.741935</v>
      </c>
      <c r="F226" s="9">
        <f t="shared" si="24"/>
        <v>0.06451612903</v>
      </c>
      <c r="G226" s="22">
        <f t="shared" si="25"/>
        <v>6882.71488</v>
      </c>
      <c r="H226" s="8"/>
      <c r="I226" s="9">
        <f t="shared" si="2"/>
        <v>33</v>
      </c>
      <c r="J226" s="22">
        <f>SUM(G226:G232)</f>
        <v>48159.7846</v>
      </c>
      <c r="K226" s="22">
        <f t="shared" si="3"/>
        <v>48159.7846</v>
      </c>
      <c r="L226" s="9">
        <f t="shared" si="5"/>
        <v>43643.27869</v>
      </c>
      <c r="M226" s="24">
        <v>43643.27869</v>
      </c>
      <c r="N226" s="25">
        <v>12855.31535</v>
      </c>
      <c r="O226" s="25">
        <v>11804.02442</v>
      </c>
      <c r="P226" s="25">
        <v>3041.138849</v>
      </c>
      <c r="Q226" s="25">
        <v>20874.13875</v>
      </c>
      <c r="R226" s="18"/>
      <c r="S226" s="25">
        <v>11708.41827</v>
      </c>
      <c r="T226" s="25">
        <v>9892.182805</v>
      </c>
      <c r="U226" s="25">
        <v>2693.528789</v>
      </c>
      <c r="V226" s="25">
        <v>19799.97818</v>
      </c>
      <c r="W226" s="25">
        <v>1146.897084</v>
      </c>
      <c r="X226" s="25">
        <v>1911.841616</v>
      </c>
      <c r="Y226" s="25">
        <v>347.6100601</v>
      </c>
      <c r="Z226" s="25">
        <v>1074.160564</v>
      </c>
    </row>
    <row r="227">
      <c r="A227" s="28"/>
      <c r="B227" s="19">
        <v>40769.0</v>
      </c>
      <c r="C227" s="20">
        <v>33.0</v>
      </c>
      <c r="D227" s="26">
        <v>226.0</v>
      </c>
      <c r="E227" s="9">
        <f t="shared" si="26"/>
        <v>6882.741935</v>
      </c>
      <c r="F227" s="9">
        <f t="shared" si="24"/>
        <v>0.03225806452</v>
      </c>
      <c r="G227" s="22">
        <f t="shared" si="25"/>
        <v>6882.728408</v>
      </c>
      <c r="H227" s="8"/>
      <c r="I227" s="9">
        <f t="shared" si="2"/>
        <v>33</v>
      </c>
      <c r="J227" s="8"/>
      <c r="K227" s="9" t="str">
        <f t="shared" si="3"/>
        <v/>
      </c>
      <c r="L227" s="9">
        <f t="shared" si="5"/>
        <v>43643.27869</v>
      </c>
      <c r="M227" s="27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>
      <c r="A228" s="28"/>
      <c r="B228" s="19">
        <v>40770.0</v>
      </c>
      <c r="C228" s="20">
        <v>33.0</v>
      </c>
      <c r="D228" s="26">
        <v>227.0</v>
      </c>
      <c r="E228" s="9">
        <f t="shared" si="26"/>
        <v>6882.741935</v>
      </c>
      <c r="F228" s="9">
        <f t="shared" si="24"/>
        <v>0</v>
      </c>
      <c r="G228" s="22">
        <f t="shared" si="25"/>
        <v>6882.741935</v>
      </c>
      <c r="H228" s="8"/>
      <c r="I228" s="9">
        <f t="shared" si="2"/>
        <v>33</v>
      </c>
      <c r="J228" s="8"/>
      <c r="K228" s="9" t="str">
        <f t="shared" si="3"/>
        <v/>
      </c>
      <c r="L228" s="9">
        <f t="shared" si="5"/>
        <v>43643.27869</v>
      </c>
      <c r="M228" s="27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>
      <c r="A229" s="13"/>
      <c r="B229" s="19">
        <v>40771.0</v>
      </c>
      <c r="C229" s="20">
        <v>33.0</v>
      </c>
      <c r="D229" s="26">
        <v>228.0</v>
      </c>
      <c r="E229" s="9">
        <f t="shared" si="26"/>
        <v>6882.741935</v>
      </c>
      <c r="F229" s="9">
        <f t="shared" ref="F229:F259" si="27">abs((D229-258)/(258-227))</f>
        <v>0.9677419355</v>
      </c>
      <c r="G229" s="22">
        <f t="shared" si="25"/>
        <v>6880.805099</v>
      </c>
      <c r="H229" s="8"/>
      <c r="I229" s="9">
        <f t="shared" si="2"/>
        <v>33</v>
      </c>
      <c r="J229" s="8"/>
      <c r="K229" s="9" t="str">
        <f t="shared" si="3"/>
        <v/>
      </c>
      <c r="L229" s="9">
        <f t="shared" si="5"/>
        <v>43643.27869</v>
      </c>
      <c r="M229" s="27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>
      <c r="A230" s="13"/>
      <c r="B230" s="19">
        <v>40772.0</v>
      </c>
      <c r="C230" s="20">
        <v>33.0</v>
      </c>
      <c r="D230" s="26">
        <v>229.0</v>
      </c>
      <c r="E230" s="9">
        <f t="shared" si="26"/>
        <v>6882.741935</v>
      </c>
      <c r="F230" s="9">
        <f t="shared" si="27"/>
        <v>0.935483871</v>
      </c>
      <c r="G230" s="22">
        <f t="shared" si="25"/>
        <v>6878.868262</v>
      </c>
      <c r="H230" s="8"/>
      <c r="I230" s="9">
        <f t="shared" si="2"/>
        <v>33</v>
      </c>
      <c r="J230" s="8"/>
      <c r="K230" s="9" t="str">
        <f t="shared" si="3"/>
        <v/>
      </c>
      <c r="L230" s="9">
        <f t="shared" si="5"/>
        <v>43643.27869</v>
      </c>
      <c r="M230" s="27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>
      <c r="A231" s="28"/>
      <c r="B231" s="19">
        <v>40773.0</v>
      </c>
      <c r="C231" s="20">
        <v>33.0</v>
      </c>
      <c r="D231" s="26">
        <v>230.0</v>
      </c>
      <c r="E231" s="9">
        <f t="shared" si="26"/>
        <v>6882.741935</v>
      </c>
      <c r="F231" s="9">
        <f t="shared" si="27"/>
        <v>0.9032258065</v>
      </c>
      <c r="G231" s="22">
        <f t="shared" si="25"/>
        <v>6876.931426</v>
      </c>
      <c r="H231" s="8"/>
      <c r="I231" s="9">
        <f t="shared" si="2"/>
        <v>33</v>
      </c>
      <c r="J231" s="8"/>
      <c r="K231" s="9" t="str">
        <f t="shared" si="3"/>
        <v/>
      </c>
      <c r="L231" s="9">
        <f t="shared" si="5"/>
        <v>43643.27869</v>
      </c>
      <c r="M231" s="27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>
      <c r="A232" s="28"/>
      <c r="B232" s="19">
        <v>40774.0</v>
      </c>
      <c r="C232" s="20">
        <v>33.0</v>
      </c>
      <c r="D232" s="26">
        <v>231.0</v>
      </c>
      <c r="E232" s="9">
        <f t="shared" si="26"/>
        <v>6882.741935</v>
      </c>
      <c r="F232" s="9">
        <f t="shared" si="27"/>
        <v>0.8709677419</v>
      </c>
      <c r="G232" s="22">
        <f t="shared" si="25"/>
        <v>6874.994589</v>
      </c>
      <c r="H232" s="8"/>
      <c r="I232" s="9">
        <f t="shared" si="2"/>
        <v>33</v>
      </c>
      <c r="J232" s="8"/>
      <c r="K232" s="9" t="str">
        <f t="shared" si="3"/>
        <v/>
      </c>
      <c r="L232" s="9">
        <f t="shared" si="5"/>
        <v>43643.27869</v>
      </c>
      <c r="M232" s="27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>
      <c r="A233" s="28"/>
      <c r="B233" s="19">
        <v>40775.0</v>
      </c>
      <c r="C233" s="20">
        <v>34.0</v>
      </c>
      <c r="D233" s="26">
        <v>232.0</v>
      </c>
      <c r="E233" s="9">
        <f t="shared" si="26"/>
        <v>6882.741935</v>
      </c>
      <c r="F233" s="9">
        <f t="shared" si="27"/>
        <v>0.8387096774</v>
      </c>
      <c r="G233" s="22">
        <f t="shared" si="25"/>
        <v>6873.057752</v>
      </c>
      <c r="H233" s="8"/>
      <c r="I233" s="9">
        <f t="shared" si="2"/>
        <v>34</v>
      </c>
      <c r="J233" s="22">
        <f>SUM(G233:G239)</f>
        <v>48070.7307</v>
      </c>
      <c r="K233" s="22">
        <f t="shared" si="3"/>
        <v>48070.7307</v>
      </c>
      <c r="L233" s="9">
        <f t="shared" si="5"/>
        <v>43643.27869</v>
      </c>
      <c r="M233" s="24">
        <v>43643.27869</v>
      </c>
      <c r="N233" s="25">
        <v>12883.68828</v>
      </c>
      <c r="O233" s="25">
        <v>11262.05314</v>
      </c>
      <c r="P233" s="25">
        <v>3053.690354</v>
      </c>
      <c r="Q233" s="25">
        <v>20782.16</v>
      </c>
      <c r="R233" s="18"/>
      <c r="S233" s="25">
        <v>11433.26632</v>
      </c>
      <c r="T233" s="25">
        <v>10605.5084</v>
      </c>
      <c r="U233" s="25">
        <v>2684.276827</v>
      </c>
      <c r="V233" s="25">
        <v>18334.17464</v>
      </c>
      <c r="W233" s="25">
        <v>1450.421954</v>
      </c>
      <c r="X233" s="25">
        <v>656.5447467</v>
      </c>
      <c r="Y233" s="25">
        <v>369.4135264</v>
      </c>
      <c r="Z233" s="25">
        <v>2447.985357</v>
      </c>
    </row>
    <row r="234">
      <c r="A234" s="28"/>
      <c r="B234" s="19">
        <v>40776.0</v>
      </c>
      <c r="C234" s="20">
        <v>34.0</v>
      </c>
      <c r="D234" s="26">
        <v>233.0</v>
      </c>
      <c r="E234" s="9">
        <f t="shared" si="26"/>
        <v>6882.741935</v>
      </c>
      <c r="F234" s="9">
        <f t="shared" si="27"/>
        <v>0.8064516129</v>
      </c>
      <c r="G234" s="22">
        <f t="shared" si="25"/>
        <v>6871.120916</v>
      </c>
      <c r="H234" s="8"/>
      <c r="I234" s="9">
        <f t="shared" si="2"/>
        <v>34</v>
      </c>
      <c r="J234" s="8"/>
      <c r="K234" s="9" t="str">
        <f t="shared" si="3"/>
        <v/>
      </c>
      <c r="L234" s="9">
        <f t="shared" si="5"/>
        <v>43643.27869</v>
      </c>
      <c r="M234" s="27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>
      <c r="A235" s="28"/>
      <c r="B235" s="19">
        <v>40777.0</v>
      </c>
      <c r="C235" s="20">
        <v>34.0</v>
      </c>
      <c r="D235" s="26">
        <v>234.0</v>
      </c>
      <c r="E235" s="9">
        <f t="shared" si="26"/>
        <v>6882.741935</v>
      </c>
      <c r="F235" s="9">
        <f t="shared" si="27"/>
        <v>0.7741935484</v>
      </c>
      <c r="G235" s="22">
        <f t="shared" si="25"/>
        <v>6869.184079</v>
      </c>
      <c r="H235" s="8"/>
      <c r="I235" s="9">
        <f t="shared" si="2"/>
        <v>34</v>
      </c>
      <c r="J235" s="8"/>
      <c r="K235" s="9" t="str">
        <f t="shared" si="3"/>
        <v/>
      </c>
      <c r="L235" s="9">
        <f t="shared" si="5"/>
        <v>43643.27869</v>
      </c>
      <c r="M235" s="27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>
      <c r="A236" s="28"/>
      <c r="B236" s="19">
        <v>40778.0</v>
      </c>
      <c r="C236" s="20">
        <v>34.0</v>
      </c>
      <c r="D236" s="26">
        <v>235.0</v>
      </c>
      <c r="E236" s="9">
        <f t="shared" si="26"/>
        <v>6882.741935</v>
      </c>
      <c r="F236" s="9">
        <f t="shared" si="27"/>
        <v>0.7419354839</v>
      </c>
      <c r="G236" s="22">
        <f t="shared" si="25"/>
        <v>6867.247242</v>
      </c>
      <c r="H236" s="8"/>
      <c r="I236" s="9">
        <f t="shared" si="2"/>
        <v>34</v>
      </c>
      <c r="J236" s="8"/>
      <c r="K236" s="9" t="str">
        <f t="shared" si="3"/>
        <v/>
      </c>
      <c r="L236" s="9">
        <f t="shared" si="5"/>
        <v>43643.27869</v>
      </c>
      <c r="M236" s="27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>
      <c r="A237" s="28"/>
      <c r="B237" s="19">
        <v>40779.0</v>
      </c>
      <c r="C237" s="20">
        <v>34.0</v>
      </c>
      <c r="D237" s="26">
        <v>236.0</v>
      </c>
      <c r="E237" s="9">
        <f t="shared" si="26"/>
        <v>6882.741935</v>
      </c>
      <c r="F237" s="9">
        <f t="shared" si="27"/>
        <v>0.7096774194</v>
      </c>
      <c r="G237" s="22">
        <f t="shared" si="25"/>
        <v>6865.310406</v>
      </c>
      <c r="H237" s="8"/>
      <c r="I237" s="9">
        <f t="shared" si="2"/>
        <v>34</v>
      </c>
      <c r="J237" s="8"/>
      <c r="K237" s="9" t="str">
        <f t="shared" si="3"/>
        <v/>
      </c>
      <c r="L237" s="9">
        <f t="shared" si="5"/>
        <v>43643.27869</v>
      </c>
      <c r="M237" s="27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>
      <c r="A238" s="28"/>
      <c r="B238" s="19">
        <v>40780.0</v>
      </c>
      <c r="C238" s="20">
        <v>34.0</v>
      </c>
      <c r="D238" s="26">
        <v>237.0</v>
      </c>
      <c r="E238" s="9">
        <f t="shared" si="26"/>
        <v>6882.741935</v>
      </c>
      <c r="F238" s="9">
        <f t="shared" si="27"/>
        <v>0.6774193548</v>
      </c>
      <c r="G238" s="22">
        <f t="shared" si="25"/>
        <v>6863.373569</v>
      </c>
      <c r="H238" s="8"/>
      <c r="I238" s="9">
        <f t="shared" si="2"/>
        <v>34</v>
      </c>
      <c r="J238" s="8"/>
      <c r="K238" s="9" t="str">
        <f t="shared" si="3"/>
        <v/>
      </c>
      <c r="L238" s="9">
        <f t="shared" si="5"/>
        <v>43643.27869</v>
      </c>
      <c r="M238" s="27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>
      <c r="A239" s="28"/>
      <c r="B239" s="19">
        <v>40781.0</v>
      </c>
      <c r="C239" s="20">
        <v>34.0</v>
      </c>
      <c r="D239" s="26">
        <v>238.0</v>
      </c>
      <c r="E239" s="9">
        <f t="shared" si="26"/>
        <v>6882.741935</v>
      </c>
      <c r="F239" s="9">
        <f t="shared" si="27"/>
        <v>0.6451612903</v>
      </c>
      <c r="G239" s="22">
        <f t="shared" si="25"/>
        <v>6861.436733</v>
      </c>
      <c r="H239" s="8"/>
      <c r="I239" s="9">
        <f t="shared" si="2"/>
        <v>34</v>
      </c>
      <c r="J239" s="8"/>
      <c r="K239" s="9" t="str">
        <f t="shared" si="3"/>
        <v/>
      </c>
      <c r="L239" s="9">
        <f t="shared" si="5"/>
        <v>43643.27869</v>
      </c>
      <c r="M239" s="27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>
      <c r="A240" s="28"/>
      <c r="B240" s="19">
        <v>40782.0</v>
      </c>
      <c r="C240" s="20">
        <v>35.0</v>
      </c>
      <c r="D240" s="26">
        <v>239.0</v>
      </c>
      <c r="E240" s="9">
        <f t="shared" si="26"/>
        <v>6882.741935</v>
      </c>
      <c r="F240" s="9">
        <f t="shared" si="27"/>
        <v>0.6129032258</v>
      </c>
      <c r="G240" s="22">
        <f t="shared" si="25"/>
        <v>6859.499896</v>
      </c>
      <c r="H240" s="8"/>
      <c r="I240" s="9">
        <f t="shared" si="2"/>
        <v>35</v>
      </c>
      <c r="J240" s="22">
        <f>SUM(G240:G246)</f>
        <v>47975.8257</v>
      </c>
      <c r="K240" s="22">
        <f t="shared" si="3"/>
        <v>47975.8257</v>
      </c>
      <c r="L240" s="9">
        <f t="shared" si="5"/>
        <v>43643.27869</v>
      </c>
      <c r="M240" s="24">
        <v>43643.27869</v>
      </c>
      <c r="N240" s="25">
        <v>13113.06324</v>
      </c>
      <c r="O240" s="25">
        <v>11118.68598</v>
      </c>
      <c r="P240" s="25">
        <v>2903.820882</v>
      </c>
      <c r="Q240" s="25">
        <v>20493.59433</v>
      </c>
      <c r="R240" s="18"/>
      <c r="S240" s="25">
        <v>12043.82676</v>
      </c>
      <c r="T240" s="25">
        <v>10155.27518</v>
      </c>
      <c r="U240" s="25">
        <v>2560.500598</v>
      </c>
      <c r="V240" s="25">
        <v>18443.97663</v>
      </c>
      <c r="W240" s="25">
        <v>1069.236473</v>
      </c>
      <c r="X240" s="25">
        <v>963.410804</v>
      </c>
      <c r="Y240" s="25">
        <v>343.3202842</v>
      </c>
      <c r="Z240" s="25">
        <v>2049.617699</v>
      </c>
    </row>
    <row r="241">
      <c r="A241" s="28"/>
      <c r="B241" s="19">
        <v>40783.0</v>
      </c>
      <c r="C241" s="20">
        <v>35.0</v>
      </c>
      <c r="D241" s="26">
        <v>240.0</v>
      </c>
      <c r="E241" s="9">
        <f t="shared" si="26"/>
        <v>6882.741935</v>
      </c>
      <c r="F241" s="9">
        <f t="shared" si="27"/>
        <v>0.5806451613</v>
      </c>
      <c r="G241" s="22">
        <f t="shared" si="25"/>
        <v>6857.563059</v>
      </c>
      <c r="H241" s="8"/>
      <c r="I241" s="9">
        <f t="shared" si="2"/>
        <v>35</v>
      </c>
      <c r="J241" s="8"/>
      <c r="K241" s="9" t="str">
        <f t="shared" si="3"/>
        <v/>
      </c>
      <c r="L241" s="9">
        <f t="shared" si="5"/>
        <v>43643.27869</v>
      </c>
      <c r="M241" s="27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>
      <c r="A242" s="28"/>
      <c r="B242" s="19">
        <v>40784.0</v>
      </c>
      <c r="C242" s="20">
        <v>35.0</v>
      </c>
      <c r="D242" s="26">
        <v>241.0</v>
      </c>
      <c r="E242" s="9">
        <f t="shared" si="26"/>
        <v>6882.741935</v>
      </c>
      <c r="F242" s="9">
        <f t="shared" si="27"/>
        <v>0.5483870968</v>
      </c>
      <c r="G242" s="22">
        <f t="shared" si="25"/>
        <v>6855.626223</v>
      </c>
      <c r="H242" s="8"/>
      <c r="I242" s="9">
        <f t="shared" si="2"/>
        <v>35</v>
      </c>
      <c r="J242" s="8"/>
      <c r="K242" s="9" t="str">
        <f t="shared" si="3"/>
        <v/>
      </c>
      <c r="L242" s="9">
        <f t="shared" si="5"/>
        <v>43643.27869</v>
      </c>
      <c r="M242" s="27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>
      <c r="A243" s="28"/>
      <c r="B243" s="19">
        <v>40785.0</v>
      </c>
      <c r="C243" s="20">
        <v>35.0</v>
      </c>
      <c r="D243" s="26">
        <v>242.0</v>
      </c>
      <c r="E243" s="9">
        <f t="shared" si="26"/>
        <v>6882.741935</v>
      </c>
      <c r="F243" s="9">
        <f t="shared" si="27"/>
        <v>0.5161290323</v>
      </c>
      <c r="G243" s="22">
        <f t="shared" si="25"/>
        <v>6853.689386</v>
      </c>
      <c r="H243" s="8"/>
      <c r="I243" s="9">
        <f t="shared" si="2"/>
        <v>35</v>
      </c>
      <c r="J243" s="8"/>
      <c r="K243" s="9" t="str">
        <f t="shared" si="3"/>
        <v/>
      </c>
      <c r="L243" s="9">
        <f t="shared" si="5"/>
        <v>43643.27869</v>
      </c>
      <c r="M243" s="27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>
      <c r="A244" s="28"/>
      <c r="B244" s="19">
        <v>40786.0</v>
      </c>
      <c r="C244" s="20">
        <v>35.0</v>
      </c>
      <c r="D244" s="26">
        <v>243.0</v>
      </c>
      <c r="E244" s="9">
        <f t="shared" si="26"/>
        <v>6882.741935</v>
      </c>
      <c r="F244" s="9">
        <f t="shared" si="27"/>
        <v>0.4838709677</v>
      </c>
      <c r="G244" s="22">
        <f t="shared" si="25"/>
        <v>6851.752549</v>
      </c>
      <c r="H244" s="8"/>
      <c r="I244" s="9">
        <f t="shared" si="2"/>
        <v>35</v>
      </c>
      <c r="J244" s="8"/>
      <c r="K244" s="9" t="str">
        <f t="shared" si="3"/>
        <v/>
      </c>
      <c r="L244" s="9">
        <f t="shared" si="5"/>
        <v>43643.27869</v>
      </c>
      <c r="M244" s="27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>
      <c r="A245" s="28"/>
      <c r="B245" s="19">
        <v>40787.0</v>
      </c>
      <c r="C245" s="20">
        <v>35.0</v>
      </c>
      <c r="D245" s="26">
        <v>244.0</v>
      </c>
      <c r="E245" s="9">
        <f>A247/30</f>
        <v>6822.7</v>
      </c>
      <c r="F245" s="9">
        <f t="shared" si="27"/>
        <v>0.4516129032</v>
      </c>
      <c r="G245" s="22">
        <f t="shared" si="25"/>
        <v>6849.815713</v>
      </c>
      <c r="H245" s="8"/>
      <c r="I245" s="9">
        <f t="shared" si="2"/>
        <v>35</v>
      </c>
      <c r="J245" s="8"/>
      <c r="K245" s="9" t="str">
        <f t="shared" si="3"/>
        <v/>
      </c>
      <c r="L245" s="9">
        <f t="shared" si="5"/>
        <v>43643.27869</v>
      </c>
      <c r="M245" s="27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>
      <c r="A246" s="13" t="s">
        <v>72</v>
      </c>
      <c r="B246" s="19">
        <v>40788.0</v>
      </c>
      <c r="C246" s="20">
        <v>35.0</v>
      </c>
      <c r="D246" s="26">
        <v>245.0</v>
      </c>
      <c r="E246" s="9">
        <f>A247/30</f>
        <v>6822.7</v>
      </c>
      <c r="F246" s="9">
        <f t="shared" si="27"/>
        <v>0.4193548387</v>
      </c>
      <c r="G246" s="22">
        <f t="shared" si="25"/>
        <v>6847.878876</v>
      </c>
      <c r="H246" s="8"/>
      <c r="I246" s="9">
        <f t="shared" si="2"/>
        <v>35</v>
      </c>
      <c r="J246" s="8"/>
      <c r="K246" s="9" t="str">
        <f t="shared" si="3"/>
        <v/>
      </c>
      <c r="L246" s="9">
        <f t="shared" si="5"/>
        <v>43643.27869</v>
      </c>
      <c r="M246" s="27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>
      <c r="A247" s="20">
        <v>204681.0</v>
      </c>
      <c r="B247" s="19">
        <v>40789.0</v>
      </c>
      <c r="C247" s="20">
        <v>36.0</v>
      </c>
      <c r="D247" s="26">
        <v>246.0</v>
      </c>
      <c r="E247" s="9">
        <f t="shared" ref="E247:E274" si="28">E246</f>
        <v>6822.7</v>
      </c>
      <c r="F247" s="9">
        <f t="shared" si="27"/>
        <v>0.3870967742</v>
      </c>
      <c r="G247" s="22">
        <f t="shared" si="25"/>
        <v>6845.94204</v>
      </c>
      <c r="H247" s="8"/>
      <c r="I247" s="9">
        <f t="shared" si="2"/>
        <v>36</v>
      </c>
      <c r="J247" s="22">
        <f>SUM(G247:G253)</f>
        <v>47880.92071</v>
      </c>
      <c r="K247" s="22">
        <f t="shared" si="3"/>
        <v>47880.92071</v>
      </c>
      <c r="L247" s="9">
        <f t="shared" si="5"/>
        <v>43643.27869</v>
      </c>
      <c r="M247" s="24">
        <v>43643.27869</v>
      </c>
      <c r="N247" s="25">
        <v>12769.01544</v>
      </c>
      <c r="O247" s="25">
        <v>11012.62432</v>
      </c>
      <c r="P247" s="25">
        <v>2915.873527</v>
      </c>
      <c r="Q247" s="25">
        <v>21810.08838</v>
      </c>
      <c r="R247" s="18"/>
      <c r="S247" s="25">
        <v>11144.70204</v>
      </c>
      <c r="T247" s="25">
        <v>10820.42313</v>
      </c>
      <c r="U247" s="25">
        <v>2706.93008</v>
      </c>
      <c r="V247" s="25">
        <v>18658.78796</v>
      </c>
      <c r="W247" s="25">
        <v>1624.313404</v>
      </c>
      <c r="X247" s="25">
        <v>192.2011897</v>
      </c>
      <c r="Y247" s="25">
        <v>208.9434469</v>
      </c>
      <c r="Z247" s="25">
        <v>3151.300418</v>
      </c>
    </row>
    <row r="248">
      <c r="A248" s="28"/>
      <c r="B248" s="19">
        <v>40790.0</v>
      </c>
      <c r="C248" s="20">
        <v>36.0</v>
      </c>
      <c r="D248" s="26">
        <v>247.0</v>
      </c>
      <c r="E248" s="9">
        <f t="shared" si="28"/>
        <v>6822.7</v>
      </c>
      <c r="F248" s="9">
        <f t="shared" si="27"/>
        <v>0.3548387097</v>
      </c>
      <c r="G248" s="22">
        <f t="shared" si="25"/>
        <v>6844.005203</v>
      </c>
      <c r="H248" s="8"/>
      <c r="I248" s="9">
        <f t="shared" si="2"/>
        <v>36</v>
      </c>
      <c r="J248" s="8"/>
      <c r="K248" s="9" t="str">
        <f t="shared" si="3"/>
        <v/>
      </c>
      <c r="L248" s="9">
        <f t="shared" si="5"/>
        <v>43643.27869</v>
      </c>
      <c r="M248" s="27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>
      <c r="A249" s="28"/>
      <c r="B249" s="19">
        <v>40791.0</v>
      </c>
      <c r="C249" s="20">
        <v>36.0</v>
      </c>
      <c r="D249" s="26">
        <v>248.0</v>
      </c>
      <c r="E249" s="9">
        <f t="shared" si="28"/>
        <v>6822.7</v>
      </c>
      <c r="F249" s="9">
        <f t="shared" si="27"/>
        <v>0.3225806452</v>
      </c>
      <c r="G249" s="22">
        <f t="shared" si="25"/>
        <v>6842.068366</v>
      </c>
      <c r="H249" s="8"/>
      <c r="I249" s="9">
        <f t="shared" si="2"/>
        <v>36</v>
      </c>
      <c r="J249" s="8"/>
      <c r="K249" s="9" t="str">
        <f t="shared" si="3"/>
        <v/>
      </c>
      <c r="L249" s="9">
        <f t="shared" si="5"/>
        <v>43643.27869</v>
      </c>
      <c r="M249" s="27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>
      <c r="A250" s="28"/>
      <c r="B250" s="19">
        <v>40792.0</v>
      </c>
      <c r="C250" s="20">
        <v>36.0</v>
      </c>
      <c r="D250" s="26">
        <v>249.0</v>
      </c>
      <c r="E250" s="9">
        <f t="shared" si="28"/>
        <v>6822.7</v>
      </c>
      <c r="F250" s="9">
        <f t="shared" si="27"/>
        <v>0.2903225806</v>
      </c>
      <c r="G250" s="22">
        <f t="shared" si="25"/>
        <v>6840.13153</v>
      </c>
      <c r="H250" s="8"/>
      <c r="I250" s="9">
        <f t="shared" si="2"/>
        <v>36</v>
      </c>
      <c r="J250" s="8"/>
      <c r="K250" s="9" t="str">
        <f t="shared" si="3"/>
        <v/>
      </c>
      <c r="L250" s="9">
        <f t="shared" si="5"/>
        <v>43643.27869</v>
      </c>
      <c r="M250" s="27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>
      <c r="A251" s="28"/>
      <c r="B251" s="19">
        <v>40793.0</v>
      </c>
      <c r="C251" s="20">
        <v>36.0</v>
      </c>
      <c r="D251" s="26">
        <v>250.0</v>
      </c>
      <c r="E251" s="9">
        <f t="shared" si="28"/>
        <v>6822.7</v>
      </c>
      <c r="F251" s="9">
        <f t="shared" si="27"/>
        <v>0.2580645161</v>
      </c>
      <c r="G251" s="22">
        <f t="shared" si="25"/>
        <v>6838.194693</v>
      </c>
      <c r="H251" s="8"/>
      <c r="I251" s="9">
        <f t="shared" si="2"/>
        <v>36</v>
      </c>
      <c r="J251" s="8"/>
      <c r="K251" s="9" t="str">
        <f t="shared" si="3"/>
        <v/>
      </c>
      <c r="L251" s="9">
        <f t="shared" si="5"/>
        <v>43643.27869</v>
      </c>
      <c r="M251" s="27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>
      <c r="A252" s="28"/>
      <c r="B252" s="19">
        <v>40794.0</v>
      </c>
      <c r="C252" s="20">
        <v>36.0</v>
      </c>
      <c r="D252" s="26">
        <v>251.0</v>
      </c>
      <c r="E252" s="9">
        <f t="shared" si="28"/>
        <v>6822.7</v>
      </c>
      <c r="F252" s="9">
        <f t="shared" si="27"/>
        <v>0.2258064516</v>
      </c>
      <c r="G252" s="22">
        <f t="shared" si="25"/>
        <v>6836.257856</v>
      </c>
      <c r="H252" s="8"/>
      <c r="I252" s="9">
        <f t="shared" si="2"/>
        <v>36</v>
      </c>
      <c r="J252" s="8"/>
      <c r="K252" s="9" t="str">
        <f t="shared" si="3"/>
        <v/>
      </c>
      <c r="L252" s="9">
        <f t="shared" si="5"/>
        <v>43643.27869</v>
      </c>
      <c r="M252" s="27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>
      <c r="A253" s="28"/>
      <c r="B253" s="19">
        <v>40795.0</v>
      </c>
      <c r="C253" s="20">
        <v>36.0</v>
      </c>
      <c r="D253" s="26">
        <v>252.0</v>
      </c>
      <c r="E253" s="9">
        <f t="shared" si="28"/>
        <v>6822.7</v>
      </c>
      <c r="F253" s="9">
        <f t="shared" si="27"/>
        <v>0.1935483871</v>
      </c>
      <c r="G253" s="22">
        <f t="shared" si="25"/>
        <v>6834.32102</v>
      </c>
      <c r="H253" s="8"/>
      <c r="I253" s="9">
        <f t="shared" si="2"/>
        <v>36</v>
      </c>
      <c r="J253" s="8"/>
      <c r="K253" s="9" t="str">
        <f t="shared" si="3"/>
        <v/>
      </c>
      <c r="L253" s="9">
        <f t="shared" si="5"/>
        <v>43643.27869</v>
      </c>
      <c r="M253" s="27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>
      <c r="A254" s="28"/>
      <c r="B254" s="19">
        <v>40796.0</v>
      </c>
      <c r="C254" s="20">
        <v>37.0</v>
      </c>
      <c r="D254" s="26">
        <v>253.0</v>
      </c>
      <c r="E254" s="9">
        <f t="shared" si="28"/>
        <v>6822.7</v>
      </c>
      <c r="F254" s="9">
        <f t="shared" si="27"/>
        <v>0.1612903226</v>
      </c>
      <c r="G254" s="22">
        <f t="shared" si="25"/>
        <v>6832.384183</v>
      </c>
      <c r="H254" s="8"/>
      <c r="I254" s="9">
        <f t="shared" si="2"/>
        <v>37</v>
      </c>
      <c r="J254" s="22">
        <f>SUM(G254:G260)</f>
        <v>47789.75825</v>
      </c>
      <c r="K254" s="22">
        <f t="shared" si="3"/>
        <v>47789.75825</v>
      </c>
      <c r="L254" s="9">
        <f t="shared" si="5"/>
        <v>43643.27869</v>
      </c>
      <c r="M254" s="24">
        <v>43643.27869</v>
      </c>
      <c r="N254" s="25">
        <v>12120.83103</v>
      </c>
      <c r="O254" s="25">
        <v>10841.03056</v>
      </c>
      <c r="P254" s="25">
        <v>2984.318012</v>
      </c>
      <c r="Q254" s="25">
        <v>19925.23496</v>
      </c>
      <c r="R254" s="18"/>
      <c r="S254" s="25">
        <v>11835.45958</v>
      </c>
      <c r="T254" s="25">
        <v>10580.28912</v>
      </c>
      <c r="U254" s="25">
        <v>2552.618393</v>
      </c>
      <c r="V254" s="25">
        <v>19393.27665</v>
      </c>
      <c r="W254" s="25">
        <v>285.3714503</v>
      </c>
      <c r="X254" s="25">
        <v>260.7414404</v>
      </c>
      <c r="Y254" s="25">
        <v>431.6996185</v>
      </c>
      <c r="Z254" s="25">
        <v>531.9583103</v>
      </c>
    </row>
    <row r="255">
      <c r="A255" s="28"/>
      <c r="B255" s="19">
        <v>40797.0</v>
      </c>
      <c r="C255" s="20">
        <v>37.0</v>
      </c>
      <c r="D255" s="26">
        <v>254.0</v>
      </c>
      <c r="E255" s="9">
        <f t="shared" si="28"/>
        <v>6822.7</v>
      </c>
      <c r="F255" s="9">
        <f t="shared" si="27"/>
        <v>0.1290322581</v>
      </c>
      <c r="G255" s="22">
        <f t="shared" si="25"/>
        <v>6830.447347</v>
      </c>
      <c r="H255" s="8"/>
      <c r="I255" s="9">
        <f t="shared" si="2"/>
        <v>37</v>
      </c>
      <c r="J255" s="8"/>
      <c r="K255" s="9" t="str">
        <f t="shared" si="3"/>
        <v/>
      </c>
      <c r="L255" s="9">
        <f t="shared" si="5"/>
        <v>43643.27869</v>
      </c>
      <c r="M255" s="27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>
      <c r="A256" s="28"/>
      <c r="B256" s="19">
        <v>40798.0</v>
      </c>
      <c r="C256" s="20">
        <v>37.0</v>
      </c>
      <c r="D256" s="26">
        <v>255.0</v>
      </c>
      <c r="E256" s="9">
        <f t="shared" si="28"/>
        <v>6822.7</v>
      </c>
      <c r="F256" s="9">
        <f t="shared" si="27"/>
        <v>0.09677419355</v>
      </c>
      <c r="G256" s="22">
        <f t="shared" si="25"/>
        <v>6828.51051</v>
      </c>
      <c r="H256" s="8"/>
      <c r="I256" s="9">
        <f t="shared" si="2"/>
        <v>37</v>
      </c>
      <c r="J256" s="8"/>
      <c r="K256" s="9" t="str">
        <f t="shared" si="3"/>
        <v/>
      </c>
      <c r="L256" s="9">
        <f t="shared" si="5"/>
        <v>43643.27869</v>
      </c>
      <c r="M256" s="27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>
      <c r="A257" s="28"/>
      <c r="B257" s="19">
        <v>40799.0</v>
      </c>
      <c r="C257" s="20">
        <v>37.0</v>
      </c>
      <c r="D257" s="26">
        <v>256.0</v>
      </c>
      <c r="E257" s="9">
        <f t="shared" si="28"/>
        <v>6822.7</v>
      </c>
      <c r="F257" s="9">
        <f t="shared" si="27"/>
        <v>0.06451612903</v>
      </c>
      <c r="G257" s="22">
        <f t="shared" si="25"/>
        <v>6826.573673</v>
      </c>
      <c r="H257" s="8"/>
      <c r="I257" s="9">
        <f t="shared" si="2"/>
        <v>37</v>
      </c>
      <c r="J257" s="8"/>
      <c r="K257" s="9" t="str">
        <f t="shared" si="3"/>
        <v/>
      </c>
      <c r="L257" s="9">
        <f t="shared" si="5"/>
        <v>43643.27869</v>
      </c>
      <c r="M257" s="27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>
      <c r="A258" s="28"/>
      <c r="B258" s="19">
        <v>40800.0</v>
      </c>
      <c r="C258" s="20">
        <v>37.0</v>
      </c>
      <c r="D258" s="26">
        <v>257.0</v>
      </c>
      <c r="E258" s="9">
        <f t="shared" si="28"/>
        <v>6822.7</v>
      </c>
      <c r="F258" s="9">
        <f t="shared" si="27"/>
        <v>0.03225806452</v>
      </c>
      <c r="G258" s="22">
        <f t="shared" si="25"/>
        <v>6824.636837</v>
      </c>
      <c r="H258" s="8"/>
      <c r="I258" s="9">
        <f t="shared" si="2"/>
        <v>37</v>
      </c>
      <c r="J258" s="8"/>
      <c r="K258" s="9" t="str">
        <f t="shared" si="3"/>
        <v/>
      </c>
      <c r="L258" s="9">
        <f t="shared" si="5"/>
        <v>43643.27869</v>
      </c>
      <c r="M258" s="27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>
      <c r="A259" s="28"/>
      <c r="B259" s="19">
        <v>40801.0</v>
      </c>
      <c r="C259" s="20">
        <v>37.0</v>
      </c>
      <c r="D259" s="26">
        <v>258.0</v>
      </c>
      <c r="E259" s="9">
        <f t="shared" si="28"/>
        <v>6822.7</v>
      </c>
      <c r="F259" s="9">
        <f t="shared" si="27"/>
        <v>0</v>
      </c>
      <c r="G259" s="22">
        <f>E259</f>
        <v>6822.7</v>
      </c>
      <c r="H259" s="8"/>
      <c r="I259" s="9">
        <f t="shared" si="2"/>
        <v>37</v>
      </c>
      <c r="J259" s="8"/>
      <c r="K259" s="9" t="str">
        <f t="shared" si="3"/>
        <v/>
      </c>
      <c r="L259" s="9">
        <f t="shared" si="5"/>
        <v>43643.27869</v>
      </c>
      <c r="M259" s="27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>
      <c r="A260" s="13"/>
      <c r="B260" s="19">
        <v>40802.0</v>
      </c>
      <c r="C260" s="20">
        <v>37.0</v>
      </c>
      <c r="D260" s="26">
        <v>259.0</v>
      </c>
      <c r="E260" s="9">
        <f t="shared" si="28"/>
        <v>6822.7</v>
      </c>
      <c r="F260" s="9">
        <f t="shared" ref="F260:F289" si="29">abs((D260-288)/(258-288))</f>
        <v>0.9666666667</v>
      </c>
      <c r="G260" s="22">
        <f t="shared" ref="G260:G289" si="30">E245*F260+(1-F260)*E275</f>
        <v>6824.505699</v>
      </c>
      <c r="H260" s="8"/>
      <c r="I260" s="9">
        <f t="shared" si="2"/>
        <v>37</v>
      </c>
      <c r="J260" s="8"/>
      <c r="K260" s="9" t="str">
        <f t="shared" si="3"/>
        <v/>
      </c>
      <c r="L260" s="9">
        <f t="shared" si="5"/>
        <v>43643.27869</v>
      </c>
      <c r="M260" s="27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>
      <c r="A261" s="13"/>
      <c r="B261" s="19">
        <v>40803.0</v>
      </c>
      <c r="C261" s="20">
        <v>38.0</v>
      </c>
      <c r="D261" s="26">
        <v>260.0</v>
      </c>
      <c r="E261" s="9">
        <f t="shared" si="28"/>
        <v>6822.7</v>
      </c>
      <c r="F261" s="9">
        <f t="shared" si="29"/>
        <v>0.9333333333</v>
      </c>
      <c r="G261" s="22">
        <f t="shared" si="30"/>
        <v>6826.311398</v>
      </c>
      <c r="H261" s="8"/>
      <c r="I261" s="9">
        <f t="shared" si="2"/>
        <v>38</v>
      </c>
      <c r="J261" s="22">
        <f>SUM(G261:G267)</f>
        <v>47822.09946</v>
      </c>
      <c r="K261" s="22">
        <f t="shared" si="3"/>
        <v>47822.09946</v>
      </c>
      <c r="L261" s="9">
        <f t="shared" si="5"/>
        <v>43643.27869</v>
      </c>
      <c r="M261" s="24">
        <v>43643.27869</v>
      </c>
      <c r="N261" s="25">
        <v>12316.02483</v>
      </c>
      <c r="O261" s="25">
        <v>11440.2435</v>
      </c>
      <c r="P261" s="25">
        <v>2838.515723</v>
      </c>
      <c r="Q261" s="25">
        <v>20110.75033</v>
      </c>
      <c r="R261" s="18"/>
      <c r="S261" s="25">
        <v>11376.40485</v>
      </c>
      <c r="T261" s="25">
        <v>10283.70567</v>
      </c>
      <c r="U261" s="25">
        <v>2755.067672</v>
      </c>
      <c r="V261" s="25">
        <v>18337.32458</v>
      </c>
      <c r="W261" s="25">
        <v>939.6199761</v>
      </c>
      <c r="X261" s="25">
        <v>1156.537822</v>
      </c>
      <c r="Y261" s="25">
        <v>83.44805097</v>
      </c>
      <c r="Z261" s="25">
        <v>1773.425753</v>
      </c>
    </row>
    <row r="262">
      <c r="A262" s="28"/>
      <c r="B262" s="19">
        <v>40804.0</v>
      </c>
      <c r="C262" s="20">
        <v>38.0</v>
      </c>
      <c r="D262" s="26">
        <v>261.0</v>
      </c>
      <c r="E262" s="9">
        <f t="shared" si="28"/>
        <v>6822.7</v>
      </c>
      <c r="F262" s="9">
        <f t="shared" si="29"/>
        <v>0.9</v>
      </c>
      <c r="G262" s="22">
        <f t="shared" si="30"/>
        <v>6828.117097</v>
      </c>
      <c r="H262" s="8"/>
      <c r="I262" s="9">
        <f t="shared" si="2"/>
        <v>38</v>
      </c>
      <c r="J262" s="8"/>
      <c r="K262" s="9" t="str">
        <f t="shared" si="3"/>
        <v/>
      </c>
      <c r="L262" s="9">
        <f t="shared" si="5"/>
        <v>43643.27869</v>
      </c>
      <c r="M262" s="27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>
      <c r="A263" s="28"/>
      <c r="B263" s="19">
        <v>40805.0</v>
      </c>
      <c r="C263" s="20">
        <v>38.0</v>
      </c>
      <c r="D263" s="26">
        <v>262.0</v>
      </c>
      <c r="E263" s="9">
        <f t="shared" si="28"/>
        <v>6822.7</v>
      </c>
      <c r="F263" s="9">
        <f t="shared" si="29"/>
        <v>0.8666666667</v>
      </c>
      <c r="G263" s="22">
        <f t="shared" si="30"/>
        <v>6829.922796</v>
      </c>
      <c r="H263" s="8"/>
      <c r="I263" s="9">
        <f t="shared" si="2"/>
        <v>38</v>
      </c>
      <c r="J263" s="8"/>
      <c r="K263" s="9" t="str">
        <f t="shared" si="3"/>
        <v/>
      </c>
      <c r="L263" s="9">
        <f t="shared" si="5"/>
        <v>43643.27869</v>
      </c>
      <c r="M263" s="27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>
      <c r="A264" s="28"/>
      <c r="B264" s="19">
        <v>40806.0</v>
      </c>
      <c r="C264" s="20">
        <v>38.0</v>
      </c>
      <c r="D264" s="26">
        <v>263.0</v>
      </c>
      <c r="E264" s="9">
        <f t="shared" si="28"/>
        <v>6822.7</v>
      </c>
      <c r="F264" s="9">
        <f t="shared" si="29"/>
        <v>0.8333333333</v>
      </c>
      <c r="G264" s="22">
        <f t="shared" si="30"/>
        <v>6831.728495</v>
      </c>
      <c r="H264" s="8"/>
      <c r="I264" s="9">
        <f t="shared" si="2"/>
        <v>38</v>
      </c>
      <c r="J264" s="8"/>
      <c r="K264" s="9" t="str">
        <f t="shared" si="3"/>
        <v/>
      </c>
      <c r="L264" s="9">
        <f t="shared" si="5"/>
        <v>43643.27869</v>
      </c>
      <c r="M264" s="27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>
      <c r="A265" s="28"/>
      <c r="B265" s="19">
        <v>40807.0</v>
      </c>
      <c r="C265" s="20">
        <v>38.0</v>
      </c>
      <c r="D265" s="26">
        <v>264.0</v>
      </c>
      <c r="E265" s="9">
        <f t="shared" si="28"/>
        <v>6822.7</v>
      </c>
      <c r="F265" s="9">
        <f t="shared" si="29"/>
        <v>0.8</v>
      </c>
      <c r="G265" s="22">
        <f t="shared" si="30"/>
        <v>6833.534194</v>
      </c>
      <c r="H265" s="8"/>
      <c r="I265" s="9">
        <f t="shared" si="2"/>
        <v>38</v>
      </c>
      <c r="J265" s="8"/>
      <c r="K265" s="9" t="str">
        <f t="shared" si="3"/>
        <v/>
      </c>
      <c r="L265" s="9">
        <f t="shared" si="5"/>
        <v>43643.27869</v>
      </c>
      <c r="M265" s="27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>
      <c r="A266" s="28"/>
      <c r="B266" s="19">
        <v>40808.0</v>
      </c>
      <c r="C266" s="20">
        <v>38.0</v>
      </c>
      <c r="D266" s="26">
        <v>265.0</v>
      </c>
      <c r="E266" s="9">
        <f t="shared" si="28"/>
        <v>6822.7</v>
      </c>
      <c r="F266" s="9">
        <f t="shared" si="29"/>
        <v>0.7666666667</v>
      </c>
      <c r="G266" s="22">
        <f t="shared" si="30"/>
        <v>6835.339892</v>
      </c>
      <c r="H266" s="8"/>
      <c r="I266" s="9">
        <f t="shared" si="2"/>
        <v>38</v>
      </c>
      <c r="J266" s="8"/>
      <c r="K266" s="9" t="str">
        <f t="shared" si="3"/>
        <v/>
      </c>
      <c r="L266" s="9">
        <f t="shared" si="5"/>
        <v>43643.27869</v>
      </c>
      <c r="M266" s="27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>
      <c r="A267" s="28"/>
      <c r="B267" s="19">
        <v>40809.0</v>
      </c>
      <c r="C267" s="20">
        <v>38.0</v>
      </c>
      <c r="D267" s="26">
        <v>266.0</v>
      </c>
      <c r="E267" s="9">
        <f t="shared" si="28"/>
        <v>6822.7</v>
      </c>
      <c r="F267" s="9">
        <f t="shared" si="29"/>
        <v>0.7333333333</v>
      </c>
      <c r="G267" s="22">
        <f t="shared" si="30"/>
        <v>6837.145591</v>
      </c>
      <c r="H267" s="8"/>
      <c r="I267" s="9">
        <f t="shared" si="2"/>
        <v>38</v>
      </c>
      <c r="J267" s="8"/>
      <c r="K267" s="9" t="str">
        <f t="shared" si="3"/>
        <v/>
      </c>
      <c r="L267" s="9">
        <f t="shared" si="5"/>
        <v>43643.27869</v>
      </c>
      <c r="M267" s="27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>
      <c r="A268" s="28"/>
      <c r="B268" s="19">
        <v>40810.0</v>
      </c>
      <c r="C268" s="20">
        <v>39.0</v>
      </c>
      <c r="D268" s="26">
        <v>267.0</v>
      </c>
      <c r="E268" s="9">
        <f t="shared" si="28"/>
        <v>6822.7</v>
      </c>
      <c r="F268" s="9">
        <f t="shared" si="29"/>
        <v>0.7</v>
      </c>
      <c r="G268" s="22">
        <f t="shared" si="30"/>
        <v>6838.95129</v>
      </c>
      <c r="H268" s="8"/>
      <c r="I268" s="9">
        <f t="shared" si="2"/>
        <v>39</v>
      </c>
      <c r="J268" s="22">
        <f>SUM(G268:G274)</f>
        <v>47910.57871</v>
      </c>
      <c r="K268" s="22">
        <f t="shared" si="3"/>
        <v>47910.57871</v>
      </c>
      <c r="L268" s="9">
        <f t="shared" si="5"/>
        <v>43643.27869</v>
      </c>
      <c r="M268" s="24">
        <v>43643.27869</v>
      </c>
      <c r="N268" s="25">
        <v>13095.58649</v>
      </c>
      <c r="O268" s="25">
        <v>11155.2127</v>
      </c>
      <c r="P268" s="25">
        <v>2965.219183</v>
      </c>
      <c r="Q268" s="25">
        <v>20788.38231</v>
      </c>
      <c r="R268" s="18"/>
      <c r="S268" s="25">
        <v>11379.11581</v>
      </c>
      <c r="T268" s="25">
        <v>10611.34317</v>
      </c>
      <c r="U268" s="25">
        <v>2746.556992</v>
      </c>
      <c r="V268" s="25">
        <v>19456.69676</v>
      </c>
      <c r="W268" s="25">
        <v>1716.470684</v>
      </c>
      <c r="X268" s="25">
        <v>543.8695321</v>
      </c>
      <c r="Y268" s="25">
        <v>218.6621914</v>
      </c>
      <c r="Z268" s="25">
        <v>1331.685551</v>
      </c>
    </row>
    <row r="269">
      <c r="A269" s="28"/>
      <c r="B269" s="19">
        <v>40811.0</v>
      </c>
      <c r="C269" s="20">
        <v>39.0</v>
      </c>
      <c r="D269" s="26">
        <v>268.0</v>
      </c>
      <c r="E269" s="9">
        <f t="shared" si="28"/>
        <v>6822.7</v>
      </c>
      <c r="F269" s="9">
        <f t="shared" si="29"/>
        <v>0.6666666667</v>
      </c>
      <c r="G269" s="22">
        <f t="shared" si="30"/>
        <v>6840.756989</v>
      </c>
      <c r="H269" s="8"/>
      <c r="I269" s="9">
        <f t="shared" si="2"/>
        <v>39</v>
      </c>
      <c r="J269" s="8"/>
      <c r="K269" s="9" t="str">
        <f t="shared" si="3"/>
        <v/>
      </c>
      <c r="L269" s="9">
        <f t="shared" si="5"/>
        <v>43643.27869</v>
      </c>
      <c r="M269" s="27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>
      <c r="A270" s="28"/>
      <c r="B270" s="19">
        <v>40812.0</v>
      </c>
      <c r="C270" s="20">
        <v>39.0</v>
      </c>
      <c r="D270" s="26">
        <v>269.0</v>
      </c>
      <c r="E270" s="9">
        <f t="shared" si="28"/>
        <v>6822.7</v>
      </c>
      <c r="F270" s="9">
        <f t="shared" si="29"/>
        <v>0.6333333333</v>
      </c>
      <c r="G270" s="22">
        <f t="shared" si="30"/>
        <v>6842.562688</v>
      </c>
      <c r="H270" s="8"/>
      <c r="I270" s="9">
        <f t="shared" si="2"/>
        <v>39</v>
      </c>
      <c r="J270" s="8"/>
      <c r="K270" s="9" t="str">
        <f t="shared" si="3"/>
        <v/>
      </c>
      <c r="L270" s="9">
        <f t="shared" si="5"/>
        <v>43643.27869</v>
      </c>
      <c r="M270" s="27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>
      <c r="A271" s="28"/>
      <c r="B271" s="19">
        <v>40813.0</v>
      </c>
      <c r="C271" s="20">
        <v>39.0</v>
      </c>
      <c r="D271" s="26">
        <v>270.0</v>
      </c>
      <c r="E271" s="9">
        <f t="shared" si="28"/>
        <v>6822.7</v>
      </c>
      <c r="F271" s="9">
        <f t="shared" si="29"/>
        <v>0.6</v>
      </c>
      <c r="G271" s="22">
        <f t="shared" si="30"/>
        <v>6844.368387</v>
      </c>
      <c r="H271" s="8"/>
      <c r="I271" s="9">
        <f t="shared" si="2"/>
        <v>39</v>
      </c>
      <c r="J271" s="8"/>
      <c r="K271" s="9" t="str">
        <f t="shared" si="3"/>
        <v/>
      </c>
      <c r="L271" s="9">
        <f t="shared" si="5"/>
        <v>43643.27869</v>
      </c>
      <c r="M271" s="27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>
      <c r="A272" s="28"/>
      <c r="B272" s="19">
        <v>40814.0</v>
      </c>
      <c r="C272" s="20">
        <v>39.0</v>
      </c>
      <c r="D272" s="26">
        <v>271.0</v>
      </c>
      <c r="E272" s="9">
        <f t="shared" si="28"/>
        <v>6822.7</v>
      </c>
      <c r="F272" s="9">
        <f t="shared" si="29"/>
        <v>0.5666666667</v>
      </c>
      <c r="G272" s="22">
        <f t="shared" si="30"/>
        <v>6846.174086</v>
      </c>
      <c r="H272" s="8"/>
      <c r="I272" s="9">
        <f t="shared" si="2"/>
        <v>39</v>
      </c>
      <c r="J272" s="8"/>
      <c r="K272" s="9" t="str">
        <f t="shared" si="3"/>
        <v/>
      </c>
      <c r="L272" s="9">
        <f t="shared" si="5"/>
        <v>43643.27869</v>
      </c>
      <c r="M272" s="27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>
      <c r="A273" s="28"/>
      <c r="B273" s="19">
        <v>40815.0</v>
      </c>
      <c r="C273" s="20">
        <v>39.0</v>
      </c>
      <c r="D273" s="26">
        <v>272.0</v>
      </c>
      <c r="E273" s="9">
        <f t="shared" si="28"/>
        <v>6822.7</v>
      </c>
      <c r="F273" s="9">
        <f t="shared" si="29"/>
        <v>0.5333333333</v>
      </c>
      <c r="G273" s="22">
        <f t="shared" si="30"/>
        <v>6847.979785</v>
      </c>
      <c r="H273" s="8"/>
      <c r="I273" s="9">
        <f t="shared" si="2"/>
        <v>39</v>
      </c>
      <c r="J273" s="8"/>
      <c r="K273" s="9" t="str">
        <f t="shared" si="3"/>
        <v/>
      </c>
      <c r="L273" s="9">
        <f t="shared" si="5"/>
        <v>43643.27869</v>
      </c>
      <c r="M273" s="27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>
      <c r="A274" s="28"/>
      <c r="B274" s="19">
        <v>40816.0</v>
      </c>
      <c r="C274" s="20">
        <v>39.0</v>
      </c>
      <c r="D274" s="26">
        <v>273.0</v>
      </c>
      <c r="E274" s="9">
        <f t="shared" si="28"/>
        <v>6822.7</v>
      </c>
      <c r="F274" s="9">
        <f t="shared" si="29"/>
        <v>0.5</v>
      </c>
      <c r="G274" s="22">
        <f t="shared" si="30"/>
        <v>6849.785484</v>
      </c>
      <c r="H274" s="8"/>
      <c r="I274" s="9">
        <f t="shared" si="2"/>
        <v>39</v>
      </c>
      <c r="J274" s="8"/>
      <c r="K274" s="9" t="str">
        <f t="shared" si="3"/>
        <v/>
      </c>
      <c r="L274" s="9">
        <f t="shared" si="5"/>
        <v>43643.27869</v>
      </c>
      <c r="M274" s="27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>
      <c r="A275" s="28"/>
      <c r="B275" s="19">
        <v>40817.0</v>
      </c>
      <c r="C275" s="20">
        <v>40.0</v>
      </c>
      <c r="D275" s="26">
        <v>274.0</v>
      </c>
      <c r="E275" s="9">
        <f>A277/31</f>
        <v>6876.870968</v>
      </c>
      <c r="F275" s="9">
        <f t="shared" si="29"/>
        <v>0.4666666667</v>
      </c>
      <c r="G275" s="22">
        <f t="shared" si="30"/>
        <v>6851.591183</v>
      </c>
      <c r="H275" s="8"/>
      <c r="I275" s="9">
        <f t="shared" si="2"/>
        <v>40</v>
      </c>
      <c r="J275" s="22">
        <f>SUM(G275:G281)</f>
        <v>47999.05796</v>
      </c>
      <c r="K275" s="22">
        <f t="shared" si="3"/>
        <v>47999.05796</v>
      </c>
      <c r="L275" s="9">
        <f t="shared" si="5"/>
        <v>43643.27869</v>
      </c>
      <c r="M275" s="24">
        <v>43643.27869</v>
      </c>
      <c r="N275" s="25">
        <v>13417.11255</v>
      </c>
      <c r="O275" s="25">
        <v>11475.79356</v>
      </c>
      <c r="P275" s="25">
        <v>2768.746756</v>
      </c>
      <c r="Q275" s="25">
        <v>21223.58968</v>
      </c>
      <c r="R275" s="18"/>
      <c r="S275" s="25">
        <v>11272.23187</v>
      </c>
      <c r="T275" s="25">
        <v>9852.647365</v>
      </c>
      <c r="U275" s="25">
        <v>2732.765162</v>
      </c>
      <c r="V275" s="25">
        <v>18221.58492</v>
      </c>
      <c r="W275" s="25">
        <v>2144.880675</v>
      </c>
      <c r="X275" s="25">
        <v>1623.146198</v>
      </c>
      <c r="Y275" s="25">
        <v>35.98159422</v>
      </c>
      <c r="Z275" s="25">
        <v>3002.004759</v>
      </c>
    </row>
    <row r="276">
      <c r="A276" s="13" t="s">
        <v>73</v>
      </c>
      <c r="B276" s="19">
        <v>40818.0</v>
      </c>
      <c r="C276" s="20">
        <v>40.0</v>
      </c>
      <c r="D276" s="26">
        <v>275.0</v>
      </c>
      <c r="E276" s="9">
        <f>A277/31</f>
        <v>6876.870968</v>
      </c>
      <c r="F276" s="9">
        <f t="shared" si="29"/>
        <v>0.4333333333</v>
      </c>
      <c r="G276" s="22">
        <f t="shared" si="30"/>
        <v>6853.396882</v>
      </c>
      <c r="H276" s="8"/>
      <c r="I276" s="9">
        <f t="shared" si="2"/>
        <v>40</v>
      </c>
      <c r="J276" s="8"/>
      <c r="K276" s="9" t="str">
        <f t="shared" si="3"/>
        <v/>
      </c>
      <c r="L276" s="9">
        <f t="shared" si="5"/>
        <v>43643.27869</v>
      </c>
      <c r="M276" s="27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>
      <c r="A277" s="20">
        <v>213183.0</v>
      </c>
      <c r="B277" s="19">
        <v>40819.0</v>
      </c>
      <c r="C277" s="20">
        <v>40.0</v>
      </c>
      <c r="D277" s="26">
        <v>276.0</v>
      </c>
      <c r="E277" s="9">
        <f t="shared" ref="E277:E305" si="31">E276</f>
        <v>6876.870968</v>
      </c>
      <c r="F277" s="9">
        <f t="shared" si="29"/>
        <v>0.4</v>
      </c>
      <c r="G277" s="22">
        <f t="shared" si="30"/>
        <v>6855.202581</v>
      </c>
      <c r="H277" s="8"/>
      <c r="I277" s="9">
        <f t="shared" si="2"/>
        <v>40</v>
      </c>
      <c r="J277" s="8"/>
      <c r="K277" s="9" t="str">
        <f t="shared" si="3"/>
        <v/>
      </c>
      <c r="L277" s="9">
        <f t="shared" si="5"/>
        <v>43643.27869</v>
      </c>
      <c r="M277" s="27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>
      <c r="A278" s="28"/>
      <c r="B278" s="19">
        <v>40820.0</v>
      </c>
      <c r="C278" s="20">
        <v>40.0</v>
      </c>
      <c r="D278" s="26">
        <v>277.0</v>
      </c>
      <c r="E278" s="9">
        <f t="shared" si="31"/>
        <v>6876.870968</v>
      </c>
      <c r="F278" s="9">
        <f t="shared" si="29"/>
        <v>0.3666666667</v>
      </c>
      <c r="G278" s="22">
        <f t="shared" si="30"/>
        <v>6857.00828</v>
      </c>
      <c r="H278" s="8"/>
      <c r="I278" s="9">
        <f t="shared" si="2"/>
        <v>40</v>
      </c>
      <c r="J278" s="8"/>
      <c r="K278" s="9" t="str">
        <f t="shared" si="3"/>
        <v/>
      </c>
      <c r="L278" s="9">
        <f t="shared" si="5"/>
        <v>43643.27869</v>
      </c>
      <c r="M278" s="27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>
      <c r="A279" s="28"/>
      <c r="B279" s="19">
        <v>40821.0</v>
      </c>
      <c r="C279" s="20">
        <v>40.0</v>
      </c>
      <c r="D279" s="26">
        <v>278.0</v>
      </c>
      <c r="E279" s="9">
        <f t="shared" si="31"/>
        <v>6876.870968</v>
      </c>
      <c r="F279" s="9">
        <f t="shared" si="29"/>
        <v>0.3333333333</v>
      </c>
      <c r="G279" s="22">
        <f t="shared" si="30"/>
        <v>6858.813978</v>
      </c>
      <c r="H279" s="8"/>
      <c r="I279" s="9">
        <f t="shared" si="2"/>
        <v>40</v>
      </c>
      <c r="J279" s="8"/>
      <c r="K279" s="9" t="str">
        <f t="shared" si="3"/>
        <v/>
      </c>
      <c r="L279" s="9">
        <f t="shared" si="5"/>
        <v>43643.27869</v>
      </c>
      <c r="M279" s="27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>
      <c r="A280" s="28"/>
      <c r="B280" s="19">
        <v>40822.0</v>
      </c>
      <c r="C280" s="20">
        <v>40.0</v>
      </c>
      <c r="D280" s="26">
        <v>279.0</v>
      </c>
      <c r="E280" s="9">
        <f t="shared" si="31"/>
        <v>6876.870968</v>
      </c>
      <c r="F280" s="9">
        <f t="shared" si="29"/>
        <v>0.3</v>
      </c>
      <c r="G280" s="22">
        <f t="shared" si="30"/>
        <v>6860.619677</v>
      </c>
      <c r="H280" s="8"/>
      <c r="I280" s="9">
        <f t="shared" si="2"/>
        <v>40</v>
      </c>
      <c r="J280" s="8"/>
      <c r="K280" s="9" t="str">
        <f t="shared" si="3"/>
        <v/>
      </c>
      <c r="L280" s="9">
        <f t="shared" si="5"/>
        <v>43643.27869</v>
      </c>
      <c r="M280" s="27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>
      <c r="A281" s="28"/>
      <c r="B281" s="19">
        <v>40823.0</v>
      </c>
      <c r="C281" s="20">
        <v>40.0</v>
      </c>
      <c r="D281" s="26">
        <v>280.0</v>
      </c>
      <c r="E281" s="9">
        <f t="shared" si="31"/>
        <v>6876.870968</v>
      </c>
      <c r="F281" s="9">
        <f t="shared" si="29"/>
        <v>0.2666666667</v>
      </c>
      <c r="G281" s="22">
        <f t="shared" si="30"/>
        <v>6862.425376</v>
      </c>
      <c r="H281" s="8"/>
      <c r="I281" s="9">
        <f t="shared" si="2"/>
        <v>40</v>
      </c>
      <c r="J281" s="8"/>
      <c r="K281" s="9" t="str">
        <f t="shared" si="3"/>
        <v/>
      </c>
      <c r="L281" s="9">
        <f t="shared" si="5"/>
        <v>43643.27869</v>
      </c>
      <c r="M281" s="27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>
      <c r="A282" s="28"/>
      <c r="B282" s="19">
        <v>40824.0</v>
      </c>
      <c r="C282" s="20">
        <v>41.0</v>
      </c>
      <c r="D282" s="26">
        <v>281.0</v>
      </c>
      <c r="E282" s="9">
        <f t="shared" si="31"/>
        <v>6876.870968</v>
      </c>
      <c r="F282" s="9">
        <f t="shared" si="29"/>
        <v>0.2333333333</v>
      </c>
      <c r="G282" s="22">
        <f t="shared" si="30"/>
        <v>6864.231075</v>
      </c>
      <c r="H282" s="8"/>
      <c r="I282" s="9">
        <f t="shared" si="2"/>
        <v>41</v>
      </c>
      <c r="J282" s="22">
        <f>SUM(G282:G288)</f>
        <v>48087.5372</v>
      </c>
      <c r="K282" s="22">
        <f t="shared" si="3"/>
        <v>48087.5372</v>
      </c>
      <c r="L282" s="9">
        <f t="shared" si="5"/>
        <v>43643.27869</v>
      </c>
      <c r="M282" s="24">
        <v>43643.27869</v>
      </c>
      <c r="N282" s="25">
        <v>12867.30167</v>
      </c>
      <c r="O282" s="25">
        <v>11070.45806</v>
      </c>
      <c r="P282" s="25">
        <v>3052.888614</v>
      </c>
      <c r="Q282" s="25">
        <v>21227.45212</v>
      </c>
      <c r="R282" s="18"/>
      <c r="S282" s="25">
        <v>11097.23017</v>
      </c>
      <c r="T282" s="25">
        <v>10805.75455</v>
      </c>
      <c r="U282" s="25">
        <v>2710.29233</v>
      </c>
      <c r="V282" s="25">
        <v>18902.13223</v>
      </c>
      <c r="W282" s="25">
        <v>1770.071497</v>
      </c>
      <c r="X282" s="25">
        <v>264.7035147</v>
      </c>
      <c r="Y282" s="25">
        <v>342.5962843</v>
      </c>
      <c r="Z282" s="25">
        <v>2325.319887</v>
      </c>
    </row>
    <row r="283">
      <c r="A283" s="28"/>
      <c r="B283" s="19">
        <v>40825.0</v>
      </c>
      <c r="C283" s="20">
        <v>41.0</v>
      </c>
      <c r="D283" s="26">
        <v>282.0</v>
      </c>
      <c r="E283" s="9">
        <f t="shared" si="31"/>
        <v>6876.870968</v>
      </c>
      <c r="F283" s="9">
        <f t="shared" si="29"/>
        <v>0.2</v>
      </c>
      <c r="G283" s="22">
        <f t="shared" si="30"/>
        <v>6866.036774</v>
      </c>
      <c r="H283" s="8"/>
      <c r="I283" s="9">
        <f t="shared" si="2"/>
        <v>41</v>
      </c>
      <c r="J283" s="8"/>
      <c r="K283" s="9" t="str">
        <f t="shared" si="3"/>
        <v/>
      </c>
      <c r="L283" s="9">
        <f t="shared" si="5"/>
        <v>43643.27869</v>
      </c>
      <c r="M283" s="27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>
      <c r="A284" s="28"/>
      <c r="B284" s="19">
        <v>40826.0</v>
      </c>
      <c r="C284" s="20">
        <v>41.0</v>
      </c>
      <c r="D284" s="26">
        <v>283.0</v>
      </c>
      <c r="E284" s="9">
        <f t="shared" si="31"/>
        <v>6876.870968</v>
      </c>
      <c r="F284" s="9">
        <f t="shared" si="29"/>
        <v>0.1666666667</v>
      </c>
      <c r="G284" s="22">
        <f t="shared" si="30"/>
        <v>6867.842473</v>
      </c>
      <c r="H284" s="8"/>
      <c r="I284" s="9">
        <f t="shared" si="2"/>
        <v>41</v>
      </c>
      <c r="J284" s="8"/>
      <c r="K284" s="9" t="str">
        <f t="shared" si="3"/>
        <v/>
      </c>
      <c r="L284" s="9">
        <f t="shared" si="5"/>
        <v>43643.27869</v>
      </c>
      <c r="M284" s="27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>
      <c r="A285" s="28"/>
      <c r="B285" s="19">
        <v>40827.0</v>
      </c>
      <c r="C285" s="20">
        <v>41.0</v>
      </c>
      <c r="D285" s="26">
        <v>284.0</v>
      </c>
      <c r="E285" s="9">
        <f t="shared" si="31"/>
        <v>6876.870968</v>
      </c>
      <c r="F285" s="9">
        <f t="shared" si="29"/>
        <v>0.1333333333</v>
      </c>
      <c r="G285" s="22">
        <f t="shared" si="30"/>
        <v>6869.648172</v>
      </c>
      <c r="H285" s="8"/>
      <c r="I285" s="9">
        <f t="shared" si="2"/>
        <v>41</v>
      </c>
      <c r="J285" s="8"/>
      <c r="K285" s="9" t="str">
        <f t="shared" si="3"/>
        <v/>
      </c>
      <c r="L285" s="9">
        <f t="shared" si="5"/>
        <v>43643.27869</v>
      </c>
      <c r="M285" s="27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>
      <c r="A286" s="28"/>
      <c r="B286" s="19">
        <v>40828.0</v>
      </c>
      <c r="C286" s="20">
        <v>41.0</v>
      </c>
      <c r="D286" s="26">
        <v>285.0</v>
      </c>
      <c r="E286" s="9">
        <f t="shared" si="31"/>
        <v>6876.870968</v>
      </c>
      <c r="F286" s="9">
        <f t="shared" si="29"/>
        <v>0.1</v>
      </c>
      <c r="G286" s="22">
        <f t="shared" si="30"/>
        <v>6871.453871</v>
      </c>
      <c r="H286" s="8"/>
      <c r="I286" s="9">
        <f t="shared" si="2"/>
        <v>41</v>
      </c>
      <c r="J286" s="8"/>
      <c r="K286" s="9" t="str">
        <f t="shared" si="3"/>
        <v/>
      </c>
      <c r="L286" s="9">
        <f t="shared" si="5"/>
        <v>43643.27869</v>
      </c>
      <c r="M286" s="27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>
      <c r="A287" s="28"/>
      <c r="B287" s="19">
        <v>40829.0</v>
      </c>
      <c r="C287" s="20">
        <v>41.0</v>
      </c>
      <c r="D287" s="26">
        <v>286.0</v>
      </c>
      <c r="E287" s="9">
        <f t="shared" si="31"/>
        <v>6876.870968</v>
      </c>
      <c r="F287" s="9">
        <f t="shared" si="29"/>
        <v>0.06666666667</v>
      </c>
      <c r="G287" s="22">
        <f t="shared" si="30"/>
        <v>6873.25957</v>
      </c>
      <c r="H287" s="8"/>
      <c r="I287" s="9">
        <f t="shared" si="2"/>
        <v>41</v>
      </c>
      <c r="J287" s="8"/>
      <c r="K287" s="9" t="str">
        <f t="shared" si="3"/>
        <v/>
      </c>
      <c r="L287" s="9">
        <f t="shared" si="5"/>
        <v>43643.27869</v>
      </c>
      <c r="M287" s="27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>
      <c r="A288" s="28"/>
      <c r="B288" s="19">
        <v>40830.0</v>
      </c>
      <c r="C288" s="20">
        <v>41.0</v>
      </c>
      <c r="D288" s="26">
        <v>287.0</v>
      </c>
      <c r="E288" s="9">
        <f t="shared" si="31"/>
        <v>6876.870968</v>
      </c>
      <c r="F288" s="9">
        <f t="shared" si="29"/>
        <v>0.03333333333</v>
      </c>
      <c r="G288" s="22">
        <f t="shared" si="30"/>
        <v>6875.065269</v>
      </c>
      <c r="H288" s="8"/>
      <c r="I288" s="9">
        <f t="shared" si="2"/>
        <v>41</v>
      </c>
      <c r="J288" s="8"/>
      <c r="K288" s="9" t="str">
        <f t="shared" si="3"/>
        <v/>
      </c>
      <c r="L288" s="9">
        <f t="shared" si="5"/>
        <v>43643.27869</v>
      </c>
      <c r="M288" s="27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>
      <c r="A289" s="28"/>
      <c r="B289" s="19">
        <v>40831.0</v>
      </c>
      <c r="C289" s="20">
        <v>42.0</v>
      </c>
      <c r="D289" s="26">
        <v>288.0</v>
      </c>
      <c r="E289" s="9">
        <f t="shared" si="31"/>
        <v>6876.870968</v>
      </c>
      <c r="F289" s="9">
        <f t="shared" si="29"/>
        <v>0</v>
      </c>
      <c r="G289" s="22">
        <f t="shared" si="30"/>
        <v>6876.870968</v>
      </c>
      <c r="H289" s="8"/>
      <c r="I289" s="9">
        <f t="shared" si="2"/>
        <v>42</v>
      </c>
      <c r="J289" s="22">
        <f>SUM(G289:G295)</f>
        <v>48176.88741</v>
      </c>
      <c r="K289" s="22">
        <f t="shared" si="3"/>
        <v>48176.88741</v>
      </c>
      <c r="L289" s="9">
        <f t="shared" si="5"/>
        <v>43643.27869</v>
      </c>
      <c r="M289" s="24">
        <v>43643.27869</v>
      </c>
      <c r="N289" s="25">
        <v>12391.06806</v>
      </c>
      <c r="O289" s="25">
        <v>11709.14437</v>
      </c>
      <c r="P289" s="25">
        <v>2805.171339</v>
      </c>
      <c r="Q289" s="25">
        <v>21042.58458</v>
      </c>
      <c r="R289" s="18"/>
      <c r="S289" s="25">
        <v>11637.48917</v>
      </c>
      <c r="T289" s="25">
        <v>10805.60123</v>
      </c>
      <c r="U289" s="25">
        <v>2718.463203</v>
      </c>
      <c r="V289" s="25">
        <v>19194.3364</v>
      </c>
      <c r="W289" s="25">
        <v>753.5788855</v>
      </c>
      <c r="X289" s="25">
        <v>903.5431428</v>
      </c>
      <c r="Y289" s="25">
        <v>86.70813639</v>
      </c>
      <c r="Z289" s="25">
        <v>1848.24818</v>
      </c>
    </row>
    <row r="290">
      <c r="A290" s="13"/>
      <c r="B290" s="19">
        <v>40832.0</v>
      </c>
      <c r="C290" s="20">
        <v>42.0</v>
      </c>
      <c r="D290" s="26">
        <v>289.0</v>
      </c>
      <c r="E290" s="9">
        <f t="shared" si="31"/>
        <v>6876.870968</v>
      </c>
      <c r="F290" s="9">
        <f t="shared" ref="F290:F320" si="32">abs((D290-319)/(319-288))</f>
        <v>0.9677419355</v>
      </c>
      <c r="G290" s="22">
        <f t="shared" ref="G290:G319" si="33">E275*F290+(1-F290)*E306</f>
        <v>6878.718141</v>
      </c>
      <c r="H290" s="8"/>
      <c r="I290" s="9">
        <f t="shared" si="2"/>
        <v>42</v>
      </c>
      <c r="J290" s="8"/>
      <c r="K290" s="9" t="str">
        <f t="shared" si="3"/>
        <v/>
      </c>
      <c r="L290" s="9">
        <f t="shared" si="5"/>
        <v>43643.27869</v>
      </c>
      <c r="M290" s="27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>
      <c r="A291" s="13"/>
      <c r="B291" s="19">
        <v>40833.0</v>
      </c>
      <c r="C291" s="20">
        <v>42.0</v>
      </c>
      <c r="D291" s="26">
        <v>290.0</v>
      </c>
      <c r="E291" s="9">
        <f t="shared" si="31"/>
        <v>6876.870968</v>
      </c>
      <c r="F291" s="9">
        <f t="shared" si="32"/>
        <v>0.935483871</v>
      </c>
      <c r="G291" s="22">
        <f t="shared" si="33"/>
        <v>6880.565314</v>
      </c>
      <c r="H291" s="8"/>
      <c r="I291" s="9">
        <f t="shared" si="2"/>
        <v>42</v>
      </c>
      <c r="J291" s="8"/>
      <c r="K291" s="9" t="str">
        <f t="shared" si="3"/>
        <v/>
      </c>
      <c r="L291" s="9">
        <f t="shared" si="5"/>
        <v>43643.27869</v>
      </c>
      <c r="M291" s="27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>
      <c r="A292" s="28"/>
      <c r="B292" s="19">
        <v>40834.0</v>
      </c>
      <c r="C292" s="20">
        <v>42.0</v>
      </c>
      <c r="D292" s="26">
        <v>291.0</v>
      </c>
      <c r="E292" s="9">
        <f t="shared" si="31"/>
        <v>6876.870968</v>
      </c>
      <c r="F292" s="9">
        <f t="shared" si="32"/>
        <v>0.9032258065</v>
      </c>
      <c r="G292" s="22">
        <f t="shared" si="33"/>
        <v>6882.412487</v>
      </c>
      <c r="H292" s="8"/>
      <c r="I292" s="9">
        <f t="shared" si="2"/>
        <v>42</v>
      </c>
      <c r="J292" s="8"/>
      <c r="K292" s="9" t="str">
        <f t="shared" si="3"/>
        <v/>
      </c>
      <c r="L292" s="9">
        <f t="shared" si="5"/>
        <v>43643.27869</v>
      </c>
      <c r="M292" s="27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>
      <c r="A293" s="28"/>
      <c r="B293" s="19">
        <v>40835.0</v>
      </c>
      <c r="C293" s="20">
        <v>42.0</v>
      </c>
      <c r="D293" s="26">
        <v>292.0</v>
      </c>
      <c r="E293" s="9">
        <f t="shared" si="31"/>
        <v>6876.870968</v>
      </c>
      <c r="F293" s="9">
        <f t="shared" si="32"/>
        <v>0.8709677419</v>
      </c>
      <c r="G293" s="22">
        <f t="shared" si="33"/>
        <v>6884.25966</v>
      </c>
      <c r="H293" s="8"/>
      <c r="I293" s="9">
        <f t="shared" si="2"/>
        <v>42</v>
      </c>
      <c r="J293" s="8"/>
      <c r="K293" s="9" t="str">
        <f t="shared" si="3"/>
        <v/>
      </c>
      <c r="L293" s="9">
        <f t="shared" si="5"/>
        <v>43643.27869</v>
      </c>
      <c r="M293" s="27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>
      <c r="A294" s="28"/>
      <c r="B294" s="19">
        <v>40836.0</v>
      </c>
      <c r="C294" s="20">
        <v>42.0</v>
      </c>
      <c r="D294" s="26">
        <v>293.0</v>
      </c>
      <c r="E294" s="9">
        <f t="shared" si="31"/>
        <v>6876.870968</v>
      </c>
      <c r="F294" s="9">
        <f t="shared" si="32"/>
        <v>0.8387096774</v>
      </c>
      <c r="G294" s="22">
        <f t="shared" si="33"/>
        <v>6886.106833</v>
      </c>
      <c r="H294" s="8"/>
      <c r="I294" s="9">
        <f t="shared" si="2"/>
        <v>42</v>
      </c>
      <c r="J294" s="8"/>
      <c r="K294" s="9" t="str">
        <f t="shared" si="3"/>
        <v/>
      </c>
      <c r="L294" s="9">
        <f t="shared" si="5"/>
        <v>43643.27869</v>
      </c>
      <c r="M294" s="27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>
      <c r="A295" s="28"/>
      <c r="B295" s="19">
        <v>40837.0</v>
      </c>
      <c r="C295" s="20">
        <v>42.0</v>
      </c>
      <c r="D295" s="26">
        <v>294.0</v>
      </c>
      <c r="E295" s="9">
        <f t="shared" si="31"/>
        <v>6876.870968</v>
      </c>
      <c r="F295" s="9">
        <f t="shared" si="32"/>
        <v>0.8064516129</v>
      </c>
      <c r="G295" s="22">
        <f t="shared" si="33"/>
        <v>6887.954006</v>
      </c>
      <c r="H295" s="8"/>
      <c r="I295" s="9">
        <f t="shared" si="2"/>
        <v>42</v>
      </c>
      <c r="J295" s="8"/>
      <c r="K295" s="9" t="str">
        <f t="shared" si="3"/>
        <v/>
      </c>
      <c r="L295" s="9">
        <f t="shared" si="5"/>
        <v>43643.27869</v>
      </c>
      <c r="M295" s="27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>
      <c r="A296" s="28"/>
      <c r="B296" s="19">
        <v>40838.0</v>
      </c>
      <c r="C296" s="20">
        <v>43.0</v>
      </c>
      <c r="D296" s="26">
        <v>295.0</v>
      </c>
      <c r="E296" s="9">
        <f t="shared" si="31"/>
        <v>6876.870968</v>
      </c>
      <c r="F296" s="9">
        <f t="shared" si="32"/>
        <v>0.7741935484</v>
      </c>
      <c r="G296" s="22">
        <f t="shared" si="33"/>
        <v>6889.801179</v>
      </c>
      <c r="H296" s="8"/>
      <c r="I296" s="9">
        <f t="shared" si="2"/>
        <v>43</v>
      </c>
      <c r="J296" s="22">
        <f>SUM(G296:G302)</f>
        <v>48267.39889</v>
      </c>
      <c r="K296" s="22">
        <f t="shared" si="3"/>
        <v>48267.39889</v>
      </c>
      <c r="L296" s="9">
        <f t="shared" si="5"/>
        <v>43643.27869</v>
      </c>
      <c r="M296" s="24">
        <v>43643.27869</v>
      </c>
      <c r="N296" s="25">
        <v>13104.92167</v>
      </c>
      <c r="O296" s="25">
        <v>11762.73739</v>
      </c>
      <c r="P296" s="25">
        <v>2867.178647</v>
      </c>
      <c r="Q296" s="25">
        <v>20445.14232</v>
      </c>
      <c r="R296" s="18"/>
      <c r="S296" s="25">
        <v>11643.00498</v>
      </c>
      <c r="T296" s="25">
        <v>9931.806922</v>
      </c>
      <c r="U296" s="25">
        <v>2701.3952</v>
      </c>
      <c r="V296" s="25">
        <v>18676.22922</v>
      </c>
      <c r="W296" s="25">
        <v>1461.916688</v>
      </c>
      <c r="X296" s="25">
        <v>1830.930473</v>
      </c>
      <c r="Y296" s="25">
        <v>165.7834468</v>
      </c>
      <c r="Z296" s="25">
        <v>1768.913102</v>
      </c>
    </row>
    <row r="297">
      <c r="A297" s="28"/>
      <c r="B297" s="19">
        <v>40839.0</v>
      </c>
      <c r="C297" s="20">
        <v>43.0</v>
      </c>
      <c r="D297" s="26">
        <v>296.0</v>
      </c>
      <c r="E297" s="9">
        <f t="shared" si="31"/>
        <v>6876.870968</v>
      </c>
      <c r="F297" s="9">
        <f t="shared" si="32"/>
        <v>0.7419354839</v>
      </c>
      <c r="G297" s="22">
        <f t="shared" si="33"/>
        <v>6891.648352</v>
      </c>
      <c r="H297" s="8"/>
      <c r="I297" s="9">
        <f t="shared" si="2"/>
        <v>43</v>
      </c>
      <c r="J297" s="8"/>
      <c r="K297" s="9" t="str">
        <f t="shared" si="3"/>
        <v/>
      </c>
      <c r="L297" s="9">
        <f t="shared" si="5"/>
        <v>43643.27869</v>
      </c>
      <c r="M297" s="27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>
      <c r="A298" s="28"/>
      <c r="B298" s="19">
        <v>40840.0</v>
      </c>
      <c r="C298" s="20">
        <v>43.0</v>
      </c>
      <c r="D298" s="26">
        <v>297.0</v>
      </c>
      <c r="E298" s="9">
        <f t="shared" si="31"/>
        <v>6876.870968</v>
      </c>
      <c r="F298" s="9">
        <f t="shared" si="32"/>
        <v>0.7096774194</v>
      </c>
      <c r="G298" s="22">
        <f t="shared" si="33"/>
        <v>6893.495525</v>
      </c>
      <c r="H298" s="8"/>
      <c r="I298" s="9">
        <f t="shared" si="2"/>
        <v>43</v>
      </c>
      <c r="J298" s="8"/>
      <c r="K298" s="9" t="str">
        <f t="shared" si="3"/>
        <v/>
      </c>
      <c r="L298" s="9">
        <f t="shared" si="5"/>
        <v>43643.27869</v>
      </c>
      <c r="M298" s="27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>
      <c r="A299" s="28"/>
      <c r="B299" s="19">
        <v>40841.0</v>
      </c>
      <c r="C299" s="20">
        <v>43.0</v>
      </c>
      <c r="D299" s="26">
        <v>298.0</v>
      </c>
      <c r="E299" s="9">
        <f t="shared" si="31"/>
        <v>6876.870968</v>
      </c>
      <c r="F299" s="9">
        <f t="shared" si="32"/>
        <v>0.6774193548</v>
      </c>
      <c r="G299" s="22">
        <f t="shared" si="33"/>
        <v>6895.342699</v>
      </c>
      <c r="H299" s="8"/>
      <c r="I299" s="9">
        <f t="shared" si="2"/>
        <v>43</v>
      </c>
      <c r="J299" s="8"/>
      <c r="K299" s="9" t="str">
        <f t="shared" si="3"/>
        <v/>
      </c>
      <c r="L299" s="9">
        <f t="shared" si="5"/>
        <v>43643.27869</v>
      </c>
      <c r="M299" s="27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>
      <c r="A300" s="28"/>
      <c r="B300" s="19">
        <v>40842.0</v>
      </c>
      <c r="C300" s="20">
        <v>43.0</v>
      </c>
      <c r="D300" s="26">
        <v>299.0</v>
      </c>
      <c r="E300" s="9">
        <f t="shared" si="31"/>
        <v>6876.870968</v>
      </c>
      <c r="F300" s="9">
        <f t="shared" si="32"/>
        <v>0.6451612903</v>
      </c>
      <c r="G300" s="22">
        <f t="shared" si="33"/>
        <v>6897.189872</v>
      </c>
      <c r="H300" s="8"/>
      <c r="I300" s="9">
        <f t="shared" si="2"/>
        <v>43</v>
      </c>
      <c r="J300" s="8"/>
      <c r="K300" s="9" t="str">
        <f t="shared" si="3"/>
        <v/>
      </c>
      <c r="L300" s="9">
        <f t="shared" si="5"/>
        <v>43643.27869</v>
      </c>
      <c r="M300" s="27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>
      <c r="A301" s="28"/>
      <c r="B301" s="19">
        <v>40843.0</v>
      </c>
      <c r="C301" s="20">
        <v>43.0</v>
      </c>
      <c r="D301" s="26">
        <v>300.0</v>
      </c>
      <c r="E301" s="9">
        <f t="shared" si="31"/>
        <v>6876.870968</v>
      </c>
      <c r="F301" s="9">
        <f t="shared" si="32"/>
        <v>0.6129032258</v>
      </c>
      <c r="G301" s="22">
        <f t="shared" si="33"/>
        <v>6899.037045</v>
      </c>
      <c r="H301" s="8"/>
      <c r="I301" s="9">
        <f t="shared" si="2"/>
        <v>43</v>
      </c>
      <c r="J301" s="8"/>
      <c r="K301" s="9" t="str">
        <f t="shared" si="3"/>
        <v/>
      </c>
      <c r="L301" s="9">
        <f t="shared" si="5"/>
        <v>43643.27869</v>
      </c>
      <c r="M301" s="27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>
      <c r="A302" s="28"/>
      <c r="B302" s="19">
        <v>40844.0</v>
      </c>
      <c r="C302" s="20">
        <v>43.0</v>
      </c>
      <c r="D302" s="26">
        <v>301.0</v>
      </c>
      <c r="E302" s="9">
        <f t="shared" si="31"/>
        <v>6876.870968</v>
      </c>
      <c r="F302" s="9">
        <f t="shared" si="32"/>
        <v>0.5806451613</v>
      </c>
      <c r="G302" s="22">
        <f t="shared" si="33"/>
        <v>6900.884218</v>
      </c>
      <c r="H302" s="8"/>
      <c r="I302" s="9">
        <f t="shared" si="2"/>
        <v>43</v>
      </c>
      <c r="J302" s="8"/>
      <c r="K302" s="9" t="str">
        <f t="shared" si="3"/>
        <v/>
      </c>
      <c r="L302" s="9">
        <f t="shared" si="5"/>
        <v>43643.27869</v>
      </c>
      <c r="M302" s="27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>
      <c r="A303" s="28"/>
      <c r="B303" s="19">
        <v>40845.0</v>
      </c>
      <c r="C303" s="20">
        <v>44.0</v>
      </c>
      <c r="D303" s="26">
        <v>302.0</v>
      </c>
      <c r="E303" s="9">
        <f t="shared" si="31"/>
        <v>6876.870968</v>
      </c>
      <c r="F303" s="9">
        <f t="shared" si="32"/>
        <v>0.5483870968</v>
      </c>
      <c r="G303" s="22">
        <f t="shared" si="33"/>
        <v>6902.731391</v>
      </c>
      <c r="H303" s="8"/>
      <c r="I303" s="9">
        <f t="shared" si="2"/>
        <v>44</v>
      </c>
      <c r="J303" s="22">
        <f>SUM(G303:G309)</f>
        <v>48357.91037</v>
      </c>
      <c r="K303" s="22">
        <f t="shared" si="3"/>
        <v>48357.91037</v>
      </c>
      <c r="L303" s="9">
        <f t="shared" si="5"/>
        <v>43643.27869</v>
      </c>
      <c r="M303" s="24">
        <v>43643.27869</v>
      </c>
      <c r="N303" s="25">
        <v>13109.28778</v>
      </c>
      <c r="O303" s="25">
        <v>11926.29203</v>
      </c>
      <c r="P303" s="25">
        <v>2861.373781</v>
      </c>
      <c r="Q303" s="25">
        <v>20619.56048</v>
      </c>
      <c r="R303" s="18"/>
      <c r="S303" s="25">
        <v>11171.59809</v>
      </c>
      <c r="T303" s="25">
        <v>10157.34089</v>
      </c>
      <c r="U303" s="25">
        <v>2666.189067</v>
      </c>
      <c r="V303" s="25">
        <v>18926.26676</v>
      </c>
      <c r="W303" s="25">
        <v>1937.689691</v>
      </c>
      <c r="X303" s="25">
        <v>1768.951146</v>
      </c>
      <c r="Y303" s="25">
        <v>195.1847137</v>
      </c>
      <c r="Z303" s="25">
        <v>1693.293712</v>
      </c>
    </row>
    <row r="304">
      <c r="A304" s="28"/>
      <c r="B304" s="19">
        <v>40846.0</v>
      </c>
      <c r="C304" s="20">
        <v>44.0</v>
      </c>
      <c r="D304" s="26">
        <v>303.0</v>
      </c>
      <c r="E304" s="9">
        <f t="shared" si="31"/>
        <v>6876.870968</v>
      </c>
      <c r="F304" s="9">
        <f t="shared" si="32"/>
        <v>0.5161290323</v>
      </c>
      <c r="G304" s="22">
        <f t="shared" si="33"/>
        <v>6904.578564</v>
      </c>
      <c r="H304" s="8"/>
      <c r="I304" s="9">
        <f t="shared" si="2"/>
        <v>44</v>
      </c>
      <c r="J304" s="8"/>
      <c r="K304" s="9" t="str">
        <f t="shared" si="3"/>
        <v/>
      </c>
      <c r="L304" s="9">
        <f t="shared" si="5"/>
        <v>43643.27869</v>
      </c>
      <c r="M304" s="27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>
      <c r="A305" s="28"/>
      <c r="B305" s="19">
        <v>40847.0</v>
      </c>
      <c r="C305" s="20">
        <v>44.0</v>
      </c>
      <c r="D305" s="26">
        <v>304.0</v>
      </c>
      <c r="E305" s="9">
        <f t="shared" si="31"/>
        <v>6876.870968</v>
      </c>
      <c r="F305" s="9">
        <f t="shared" si="32"/>
        <v>0.4838709677</v>
      </c>
      <c r="G305" s="22">
        <f t="shared" si="33"/>
        <v>6906.425737</v>
      </c>
      <c r="H305" s="8"/>
      <c r="I305" s="9">
        <f t="shared" si="2"/>
        <v>44</v>
      </c>
      <c r="J305" s="8"/>
      <c r="K305" s="9" t="str">
        <f t="shared" si="3"/>
        <v/>
      </c>
      <c r="L305" s="9">
        <f t="shared" si="5"/>
        <v>43643.27869</v>
      </c>
      <c r="M305" s="27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>
      <c r="A306" s="28"/>
      <c r="B306" s="19">
        <v>40848.0</v>
      </c>
      <c r="C306" s="20">
        <v>44.0</v>
      </c>
      <c r="D306" s="26">
        <v>305.0</v>
      </c>
      <c r="E306" s="9">
        <f>A308/30</f>
        <v>6934.133333</v>
      </c>
      <c r="F306" s="9">
        <f t="shared" si="32"/>
        <v>0.4516129032</v>
      </c>
      <c r="G306" s="22">
        <f t="shared" si="33"/>
        <v>6908.27291</v>
      </c>
      <c r="H306" s="8"/>
      <c r="I306" s="9">
        <f t="shared" si="2"/>
        <v>44</v>
      </c>
      <c r="J306" s="8"/>
      <c r="K306" s="9" t="str">
        <f t="shared" si="3"/>
        <v/>
      </c>
      <c r="L306" s="9">
        <f t="shared" si="5"/>
        <v>43643.27869</v>
      </c>
      <c r="M306" s="27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>
      <c r="A307" s="13" t="s">
        <v>74</v>
      </c>
      <c r="B307" s="19">
        <v>40849.0</v>
      </c>
      <c r="C307" s="20">
        <v>44.0</v>
      </c>
      <c r="D307" s="26">
        <v>306.0</v>
      </c>
      <c r="E307" s="9">
        <f>A308/30</f>
        <v>6934.133333</v>
      </c>
      <c r="F307" s="9">
        <f t="shared" si="32"/>
        <v>0.4193548387</v>
      </c>
      <c r="G307" s="22">
        <f t="shared" si="33"/>
        <v>6910.120083</v>
      </c>
      <c r="H307" s="8"/>
      <c r="I307" s="9">
        <f t="shared" si="2"/>
        <v>44</v>
      </c>
      <c r="J307" s="8"/>
      <c r="K307" s="9" t="str">
        <f t="shared" si="3"/>
        <v/>
      </c>
      <c r="L307" s="9">
        <f t="shared" si="5"/>
        <v>43643.27869</v>
      </c>
      <c r="M307" s="27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>
      <c r="A308" s="20">
        <v>208024.0</v>
      </c>
      <c r="B308" s="19">
        <v>40850.0</v>
      </c>
      <c r="C308" s="20">
        <v>44.0</v>
      </c>
      <c r="D308" s="26">
        <v>307.0</v>
      </c>
      <c r="E308" s="9">
        <f t="shared" ref="E308:E335" si="34">E307</f>
        <v>6934.133333</v>
      </c>
      <c r="F308" s="9">
        <f t="shared" si="32"/>
        <v>0.3870967742</v>
      </c>
      <c r="G308" s="22">
        <f t="shared" si="33"/>
        <v>6911.967256</v>
      </c>
      <c r="H308" s="8"/>
      <c r="I308" s="9">
        <f t="shared" si="2"/>
        <v>44</v>
      </c>
      <c r="J308" s="8"/>
      <c r="K308" s="9" t="str">
        <f t="shared" si="3"/>
        <v/>
      </c>
      <c r="L308" s="9">
        <f t="shared" si="5"/>
        <v>43643.27869</v>
      </c>
      <c r="M308" s="27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>
      <c r="A309" s="28"/>
      <c r="B309" s="19">
        <v>40851.0</v>
      </c>
      <c r="C309" s="20">
        <v>44.0</v>
      </c>
      <c r="D309" s="26">
        <v>308.0</v>
      </c>
      <c r="E309" s="9">
        <f t="shared" si="34"/>
        <v>6934.133333</v>
      </c>
      <c r="F309" s="9">
        <f t="shared" si="32"/>
        <v>0.3548387097</v>
      </c>
      <c r="G309" s="22">
        <f t="shared" si="33"/>
        <v>6913.814429</v>
      </c>
      <c r="H309" s="8"/>
      <c r="I309" s="9">
        <f t="shared" si="2"/>
        <v>44</v>
      </c>
      <c r="J309" s="8"/>
      <c r="K309" s="9" t="str">
        <f t="shared" si="3"/>
        <v/>
      </c>
      <c r="L309" s="9">
        <f t="shared" si="5"/>
        <v>43643.27869</v>
      </c>
      <c r="M309" s="27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>
      <c r="A310" s="28"/>
      <c r="B310" s="19">
        <v>40852.0</v>
      </c>
      <c r="C310" s="20">
        <v>45.0</v>
      </c>
      <c r="D310" s="26">
        <v>309.0</v>
      </c>
      <c r="E310" s="9">
        <f t="shared" si="34"/>
        <v>6934.133333</v>
      </c>
      <c r="F310" s="9">
        <f t="shared" si="32"/>
        <v>0.3225806452</v>
      </c>
      <c r="G310" s="22">
        <f t="shared" si="33"/>
        <v>6915.661602</v>
      </c>
      <c r="H310" s="8"/>
      <c r="I310" s="9">
        <f t="shared" si="2"/>
        <v>45</v>
      </c>
      <c r="J310" s="22">
        <f>SUM(G310:G316)</f>
        <v>48448.42185</v>
      </c>
      <c r="K310" s="22">
        <f t="shared" si="3"/>
        <v>48448.42185</v>
      </c>
      <c r="L310" s="9">
        <f t="shared" si="5"/>
        <v>43643.27869</v>
      </c>
      <c r="M310" s="24">
        <v>43643.27869</v>
      </c>
      <c r="N310" s="25">
        <v>13183.50084</v>
      </c>
      <c r="O310" s="25">
        <v>11071.19303</v>
      </c>
      <c r="P310" s="25">
        <v>2949.695053</v>
      </c>
      <c r="Q310" s="25">
        <v>20772.99079</v>
      </c>
      <c r="R310" s="18"/>
      <c r="S310" s="25">
        <v>11724.32872</v>
      </c>
      <c r="T310" s="25">
        <v>10051.86942</v>
      </c>
      <c r="U310" s="25">
        <v>2684.918148</v>
      </c>
      <c r="V310" s="25">
        <v>18170.69343</v>
      </c>
      <c r="W310" s="25">
        <v>1459.17212</v>
      </c>
      <c r="X310" s="25">
        <v>1019.323616</v>
      </c>
      <c r="Y310" s="25">
        <v>264.7769045</v>
      </c>
      <c r="Z310" s="25">
        <v>2602.297362</v>
      </c>
    </row>
    <row r="311">
      <c r="A311" s="28"/>
      <c r="B311" s="19">
        <v>40853.0</v>
      </c>
      <c r="C311" s="20">
        <v>45.0</v>
      </c>
      <c r="D311" s="26">
        <v>310.0</v>
      </c>
      <c r="E311" s="9">
        <f t="shared" si="34"/>
        <v>6934.133333</v>
      </c>
      <c r="F311" s="9">
        <f t="shared" si="32"/>
        <v>0.2903225806</v>
      </c>
      <c r="G311" s="22">
        <f t="shared" si="33"/>
        <v>6917.508776</v>
      </c>
      <c r="H311" s="8"/>
      <c r="I311" s="9">
        <f t="shared" si="2"/>
        <v>45</v>
      </c>
      <c r="J311" s="8"/>
      <c r="K311" s="9" t="str">
        <f t="shared" si="3"/>
        <v/>
      </c>
      <c r="L311" s="9">
        <f t="shared" si="5"/>
        <v>43643.27869</v>
      </c>
      <c r="M311" s="27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>
      <c r="A312" s="28"/>
      <c r="B312" s="19">
        <v>40854.0</v>
      </c>
      <c r="C312" s="20">
        <v>45.0</v>
      </c>
      <c r="D312" s="26">
        <v>311.0</v>
      </c>
      <c r="E312" s="9">
        <f t="shared" si="34"/>
        <v>6934.133333</v>
      </c>
      <c r="F312" s="9">
        <f t="shared" si="32"/>
        <v>0.2580645161</v>
      </c>
      <c r="G312" s="22">
        <f t="shared" si="33"/>
        <v>6919.355949</v>
      </c>
      <c r="H312" s="8"/>
      <c r="I312" s="9">
        <f t="shared" si="2"/>
        <v>45</v>
      </c>
      <c r="J312" s="8"/>
      <c r="K312" s="9" t="str">
        <f t="shared" si="3"/>
        <v/>
      </c>
      <c r="L312" s="9">
        <f t="shared" si="5"/>
        <v>43643.27869</v>
      </c>
      <c r="M312" s="27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>
      <c r="A313" s="28"/>
      <c r="B313" s="19">
        <v>40855.0</v>
      </c>
      <c r="C313" s="20">
        <v>45.0</v>
      </c>
      <c r="D313" s="26">
        <v>312.0</v>
      </c>
      <c r="E313" s="9">
        <f t="shared" si="34"/>
        <v>6934.133333</v>
      </c>
      <c r="F313" s="9">
        <f t="shared" si="32"/>
        <v>0.2258064516</v>
      </c>
      <c r="G313" s="22">
        <f t="shared" si="33"/>
        <v>6921.203122</v>
      </c>
      <c r="H313" s="8"/>
      <c r="I313" s="9">
        <f t="shared" si="2"/>
        <v>45</v>
      </c>
      <c r="J313" s="8"/>
      <c r="K313" s="9" t="str">
        <f t="shared" si="3"/>
        <v/>
      </c>
      <c r="L313" s="9">
        <f t="shared" si="5"/>
        <v>43643.27869</v>
      </c>
      <c r="M313" s="27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>
      <c r="A314" s="28"/>
      <c r="B314" s="19">
        <v>40856.0</v>
      </c>
      <c r="C314" s="20">
        <v>45.0</v>
      </c>
      <c r="D314" s="26">
        <v>313.0</v>
      </c>
      <c r="E314" s="9">
        <f t="shared" si="34"/>
        <v>6934.133333</v>
      </c>
      <c r="F314" s="9">
        <f t="shared" si="32"/>
        <v>0.1935483871</v>
      </c>
      <c r="G314" s="22">
        <f t="shared" si="33"/>
        <v>6923.050295</v>
      </c>
      <c r="H314" s="8"/>
      <c r="I314" s="9">
        <f t="shared" si="2"/>
        <v>45</v>
      </c>
      <c r="J314" s="8"/>
      <c r="K314" s="9" t="str">
        <f t="shared" si="3"/>
        <v/>
      </c>
      <c r="L314" s="9">
        <f t="shared" si="5"/>
        <v>43643.27869</v>
      </c>
      <c r="M314" s="27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>
      <c r="A315" s="28"/>
      <c r="B315" s="19">
        <v>40857.0</v>
      </c>
      <c r="C315" s="20">
        <v>45.0</v>
      </c>
      <c r="D315" s="26">
        <v>314.0</v>
      </c>
      <c r="E315" s="9">
        <f t="shared" si="34"/>
        <v>6934.133333</v>
      </c>
      <c r="F315" s="9">
        <f t="shared" si="32"/>
        <v>0.1612903226</v>
      </c>
      <c r="G315" s="22">
        <f t="shared" si="33"/>
        <v>6924.897468</v>
      </c>
      <c r="H315" s="8"/>
      <c r="I315" s="9">
        <f t="shared" si="2"/>
        <v>45</v>
      </c>
      <c r="J315" s="8"/>
      <c r="K315" s="9" t="str">
        <f t="shared" si="3"/>
        <v/>
      </c>
      <c r="L315" s="9">
        <f t="shared" si="5"/>
        <v>43643.27869</v>
      </c>
      <c r="M315" s="27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>
      <c r="A316" s="28"/>
      <c r="B316" s="19">
        <v>40858.0</v>
      </c>
      <c r="C316" s="20">
        <v>45.0</v>
      </c>
      <c r="D316" s="26">
        <v>315.0</v>
      </c>
      <c r="E316" s="9">
        <f t="shared" si="34"/>
        <v>6934.133333</v>
      </c>
      <c r="F316" s="9">
        <f t="shared" si="32"/>
        <v>0.1290322581</v>
      </c>
      <c r="G316" s="22">
        <f t="shared" si="33"/>
        <v>6926.744641</v>
      </c>
      <c r="H316" s="8"/>
      <c r="I316" s="9">
        <f t="shared" si="2"/>
        <v>45</v>
      </c>
      <c r="J316" s="8"/>
      <c r="K316" s="9" t="str">
        <f t="shared" si="3"/>
        <v/>
      </c>
      <c r="L316" s="9">
        <f t="shared" si="5"/>
        <v>43643.27869</v>
      </c>
      <c r="M316" s="27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>
      <c r="A317" s="28"/>
      <c r="B317" s="19">
        <v>40859.0</v>
      </c>
      <c r="C317" s="20">
        <v>46.0</v>
      </c>
      <c r="D317" s="26">
        <v>316.0</v>
      </c>
      <c r="E317" s="9">
        <f t="shared" si="34"/>
        <v>6934.133333</v>
      </c>
      <c r="F317" s="9">
        <f t="shared" si="32"/>
        <v>0.09677419355</v>
      </c>
      <c r="G317" s="22">
        <f t="shared" si="33"/>
        <v>6928.591814</v>
      </c>
      <c r="H317" s="8"/>
      <c r="I317" s="9">
        <f t="shared" si="2"/>
        <v>46</v>
      </c>
      <c r="J317" s="22">
        <f>SUM(G317:G323)</f>
        <v>48590.38492</v>
      </c>
      <c r="K317" s="22">
        <f t="shared" si="3"/>
        <v>48590.38492</v>
      </c>
      <c r="L317" s="9">
        <f t="shared" si="5"/>
        <v>43643.27869</v>
      </c>
      <c r="M317" s="24">
        <v>43643.27869</v>
      </c>
      <c r="N317" s="25">
        <v>13104.03299</v>
      </c>
      <c r="O317" s="25">
        <v>11098.3361</v>
      </c>
      <c r="P317" s="25">
        <v>2839.767013</v>
      </c>
      <c r="Q317" s="25">
        <v>20501.24443</v>
      </c>
      <c r="R317" s="18"/>
      <c r="S317" s="25">
        <v>11968.46464</v>
      </c>
      <c r="T317" s="25">
        <v>10717.47342</v>
      </c>
      <c r="U317" s="25">
        <v>2622.817549</v>
      </c>
      <c r="V317" s="25">
        <v>18255.37356</v>
      </c>
      <c r="W317" s="25">
        <v>1135.568347</v>
      </c>
      <c r="X317" s="25">
        <v>380.8626783</v>
      </c>
      <c r="Y317" s="25">
        <v>216.9494643</v>
      </c>
      <c r="Z317" s="25">
        <v>2245.870877</v>
      </c>
    </row>
    <row r="318">
      <c r="A318" s="28"/>
      <c r="B318" s="19">
        <v>40860.0</v>
      </c>
      <c r="C318" s="20">
        <v>46.0</v>
      </c>
      <c r="D318" s="26">
        <v>317.0</v>
      </c>
      <c r="E318" s="9">
        <f t="shared" si="34"/>
        <v>6934.133333</v>
      </c>
      <c r="F318" s="9">
        <f t="shared" si="32"/>
        <v>0.06451612903</v>
      </c>
      <c r="G318" s="22">
        <f t="shared" si="33"/>
        <v>6930.438987</v>
      </c>
      <c r="H318" s="8"/>
      <c r="I318" s="9">
        <f t="shared" si="2"/>
        <v>46</v>
      </c>
      <c r="J318" s="8"/>
      <c r="K318" s="9" t="str">
        <f t="shared" si="3"/>
        <v/>
      </c>
      <c r="L318" s="9">
        <f t="shared" si="5"/>
        <v>43643.27869</v>
      </c>
      <c r="M318" s="27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>
      <c r="A319" s="28"/>
      <c r="B319" s="19">
        <v>40861.0</v>
      </c>
      <c r="C319" s="20">
        <v>46.0</v>
      </c>
      <c r="D319" s="26">
        <v>318.0</v>
      </c>
      <c r="E319" s="9">
        <f t="shared" si="34"/>
        <v>6934.133333</v>
      </c>
      <c r="F319" s="9">
        <f t="shared" si="32"/>
        <v>0.03225806452</v>
      </c>
      <c r="G319" s="22">
        <f t="shared" si="33"/>
        <v>6932.28616</v>
      </c>
      <c r="H319" s="8"/>
      <c r="I319" s="9">
        <f t="shared" si="2"/>
        <v>46</v>
      </c>
      <c r="J319" s="8"/>
      <c r="K319" s="9" t="str">
        <f t="shared" si="3"/>
        <v/>
      </c>
      <c r="L319" s="9">
        <f t="shared" si="5"/>
        <v>43643.27869</v>
      </c>
      <c r="M319" s="27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>
      <c r="A320" s="28"/>
      <c r="B320" s="19">
        <v>40862.0</v>
      </c>
      <c r="C320" s="20">
        <v>46.0</v>
      </c>
      <c r="D320" s="26">
        <v>319.0</v>
      </c>
      <c r="E320" s="9">
        <f t="shared" si="34"/>
        <v>6934.133333</v>
      </c>
      <c r="F320" s="9">
        <f t="shared" si="32"/>
        <v>0</v>
      </c>
      <c r="G320" s="22">
        <f>E320</f>
        <v>6934.133333</v>
      </c>
      <c r="H320" s="8"/>
      <c r="I320" s="9">
        <f t="shared" si="2"/>
        <v>46</v>
      </c>
      <c r="J320" s="8"/>
      <c r="K320" s="9" t="str">
        <f t="shared" si="3"/>
        <v/>
      </c>
      <c r="L320" s="9">
        <f t="shared" si="5"/>
        <v>43643.27869</v>
      </c>
      <c r="M320" s="27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>
      <c r="A321" s="13"/>
      <c r="B321" s="19">
        <v>40863.0</v>
      </c>
      <c r="C321" s="20">
        <v>46.0</v>
      </c>
      <c r="D321" s="26">
        <v>320.0</v>
      </c>
      <c r="E321" s="9">
        <f t="shared" si="34"/>
        <v>6934.133333</v>
      </c>
      <c r="F321" s="9">
        <f t="shared" ref="F321:F350" si="35">abs((D321-349)/(349-319))</f>
        <v>0.9666666667</v>
      </c>
      <c r="G321" s="22">
        <f t="shared" ref="G321:G350" si="36">E306*F321+(1-F321)*E336</f>
        <v>6944.555771</v>
      </c>
      <c r="H321" s="8"/>
      <c r="I321" s="9">
        <f t="shared" si="2"/>
        <v>46</v>
      </c>
      <c r="J321" s="8"/>
      <c r="K321" s="9" t="str">
        <f t="shared" si="3"/>
        <v/>
      </c>
      <c r="L321" s="9">
        <f t="shared" si="5"/>
        <v>43643.27869</v>
      </c>
      <c r="M321" s="27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>
      <c r="A322" s="13"/>
      <c r="B322" s="19">
        <v>40864.0</v>
      </c>
      <c r="C322" s="20">
        <v>46.0</v>
      </c>
      <c r="D322" s="26">
        <v>321.0</v>
      </c>
      <c r="E322" s="9">
        <f t="shared" si="34"/>
        <v>6934.133333</v>
      </c>
      <c r="F322" s="9">
        <f t="shared" si="35"/>
        <v>0.9333333333</v>
      </c>
      <c r="G322" s="22">
        <f t="shared" si="36"/>
        <v>6954.978208</v>
      </c>
      <c r="H322" s="8"/>
      <c r="I322" s="9">
        <f t="shared" si="2"/>
        <v>46</v>
      </c>
      <c r="J322" s="8"/>
      <c r="K322" s="9" t="str">
        <f t="shared" si="3"/>
        <v/>
      </c>
      <c r="L322" s="9">
        <f t="shared" si="5"/>
        <v>43643.27869</v>
      </c>
      <c r="M322" s="27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>
      <c r="A323" s="28"/>
      <c r="B323" s="19">
        <v>40865.0</v>
      </c>
      <c r="C323" s="20">
        <v>46.0</v>
      </c>
      <c r="D323" s="26">
        <v>322.0</v>
      </c>
      <c r="E323" s="9">
        <f t="shared" si="34"/>
        <v>6934.133333</v>
      </c>
      <c r="F323" s="9">
        <f t="shared" si="35"/>
        <v>0.9</v>
      </c>
      <c r="G323" s="22">
        <f t="shared" si="36"/>
        <v>6965.400645</v>
      </c>
      <c r="H323" s="8"/>
      <c r="I323" s="9">
        <f t="shared" si="2"/>
        <v>46</v>
      </c>
      <c r="J323" s="8"/>
      <c r="K323" s="9" t="str">
        <f t="shared" si="3"/>
        <v/>
      </c>
      <c r="L323" s="9">
        <f t="shared" si="5"/>
        <v>43643.27869</v>
      </c>
      <c r="M323" s="27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>
      <c r="A324" s="28"/>
      <c r="B324" s="19">
        <v>40866.0</v>
      </c>
      <c r="C324" s="20">
        <v>47.0</v>
      </c>
      <c r="D324" s="26">
        <v>323.0</v>
      </c>
      <c r="E324" s="9">
        <f t="shared" si="34"/>
        <v>6934.133333</v>
      </c>
      <c r="F324" s="9">
        <f t="shared" si="35"/>
        <v>0.8666666667</v>
      </c>
      <c r="G324" s="22">
        <f t="shared" si="36"/>
        <v>6975.823082</v>
      </c>
      <c r="H324" s="8"/>
      <c r="I324" s="9">
        <f t="shared" si="2"/>
        <v>47</v>
      </c>
      <c r="J324" s="22">
        <f>SUM(G324:G330)</f>
        <v>49049.63276</v>
      </c>
      <c r="K324" s="22">
        <f t="shared" si="3"/>
        <v>49049.63276</v>
      </c>
      <c r="L324" s="9">
        <f t="shared" si="5"/>
        <v>43643.27869</v>
      </c>
      <c r="M324" s="24">
        <v>43643.27869</v>
      </c>
      <c r="N324" s="25">
        <v>13619.94635</v>
      </c>
      <c r="O324" s="25">
        <v>11161.2398</v>
      </c>
      <c r="P324" s="25">
        <v>2906.084151</v>
      </c>
      <c r="Q324" s="25">
        <v>21850.521</v>
      </c>
      <c r="R324" s="18"/>
      <c r="S324" s="25">
        <v>11943.90036</v>
      </c>
      <c r="T324" s="25">
        <v>10580.61936</v>
      </c>
      <c r="U324" s="25">
        <v>2513.486548</v>
      </c>
      <c r="V324" s="25">
        <v>18411.55629</v>
      </c>
      <c r="W324" s="25">
        <v>1676.045993</v>
      </c>
      <c r="X324" s="25">
        <v>580.6204437</v>
      </c>
      <c r="Y324" s="25">
        <v>392.5976034</v>
      </c>
      <c r="Z324" s="25">
        <v>3438.964709</v>
      </c>
    </row>
    <row r="325">
      <c r="A325" s="28"/>
      <c r="B325" s="19">
        <v>40867.0</v>
      </c>
      <c r="C325" s="20">
        <v>47.0</v>
      </c>
      <c r="D325" s="26">
        <v>324.0</v>
      </c>
      <c r="E325" s="9">
        <f t="shared" si="34"/>
        <v>6934.133333</v>
      </c>
      <c r="F325" s="9">
        <f t="shared" si="35"/>
        <v>0.8333333333</v>
      </c>
      <c r="G325" s="22">
        <f t="shared" si="36"/>
        <v>6986.24552</v>
      </c>
      <c r="H325" s="8"/>
      <c r="I325" s="9">
        <f t="shared" si="2"/>
        <v>47</v>
      </c>
      <c r="J325" s="8"/>
      <c r="K325" s="9" t="str">
        <f t="shared" si="3"/>
        <v/>
      </c>
      <c r="L325" s="9">
        <f t="shared" si="5"/>
        <v>43643.27869</v>
      </c>
      <c r="M325" s="27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>
      <c r="A326" s="28"/>
      <c r="B326" s="19">
        <v>40868.0</v>
      </c>
      <c r="C326" s="20">
        <v>47.0</v>
      </c>
      <c r="D326" s="26">
        <v>325.0</v>
      </c>
      <c r="E326" s="9">
        <f t="shared" si="34"/>
        <v>6934.133333</v>
      </c>
      <c r="F326" s="9">
        <f t="shared" si="35"/>
        <v>0.8</v>
      </c>
      <c r="G326" s="22">
        <f t="shared" si="36"/>
        <v>6996.667957</v>
      </c>
      <c r="H326" s="8"/>
      <c r="I326" s="9">
        <f t="shared" si="2"/>
        <v>47</v>
      </c>
      <c r="J326" s="8"/>
      <c r="K326" s="9" t="str">
        <f t="shared" si="3"/>
        <v/>
      </c>
      <c r="L326" s="9">
        <f t="shared" si="5"/>
        <v>43643.27869</v>
      </c>
      <c r="M326" s="27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>
      <c r="A327" s="28"/>
      <c r="B327" s="19">
        <v>40869.0</v>
      </c>
      <c r="C327" s="20">
        <v>47.0</v>
      </c>
      <c r="D327" s="26">
        <v>326.0</v>
      </c>
      <c r="E327" s="9">
        <f t="shared" si="34"/>
        <v>6934.133333</v>
      </c>
      <c r="F327" s="9">
        <f t="shared" si="35"/>
        <v>0.7666666667</v>
      </c>
      <c r="G327" s="22">
        <f t="shared" si="36"/>
        <v>7007.090394</v>
      </c>
      <c r="H327" s="8"/>
      <c r="I327" s="9">
        <f t="shared" si="2"/>
        <v>47</v>
      </c>
      <c r="J327" s="8"/>
      <c r="K327" s="9" t="str">
        <f t="shared" si="3"/>
        <v/>
      </c>
      <c r="L327" s="9">
        <f t="shared" si="5"/>
        <v>43643.27869</v>
      </c>
      <c r="M327" s="27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>
      <c r="A328" s="28"/>
      <c r="B328" s="19">
        <v>40870.0</v>
      </c>
      <c r="C328" s="20">
        <v>47.0</v>
      </c>
      <c r="D328" s="26">
        <v>327.0</v>
      </c>
      <c r="E328" s="9">
        <f t="shared" si="34"/>
        <v>6934.133333</v>
      </c>
      <c r="F328" s="9">
        <f t="shared" si="35"/>
        <v>0.7333333333</v>
      </c>
      <c r="G328" s="22">
        <f t="shared" si="36"/>
        <v>7017.512832</v>
      </c>
      <c r="H328" s="8"/>
      <c r="I328" s="9">
        <f t="shared" si="2"/>
        <v>47</v>
      </c>
      <c r="J328" s="8"/>
      <c r="K328" s="9" t="str">
        <f t="shared" si="3"/>
        <v/>
      </c>
      <c r="L328" s="9">
        <f t="shared" si="5"/>
        <v>43643.27869</v>
      </c>
      <c r="M328" s="27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>
      <c r="A329" s="28"/>
      <c r="B329" s="19">
        <v>40871.0</v>
      </c>
      <c r="C329" s="20">
        <v>47.0</v>
      </c>
      <c r="D329" s="26">
        <v>328.0</v>
      </c>
      <c r="E329" s="9">
        <f t="shared" si="34"/>
        <v>6934.133333</v>
      </c>
      <c r="F329" s="9">
        <f t="shared" si="35"/>
        <v>0.7</v>
      </c>
      <c r="G329" s="22">
        <f t="shared" si="36"/>
        <v>7027.935269</v>
      </c>
      <c r="H329" s="8"/>
      <c r="I329" s="9">
        <f t="shared" si="2"/>
        <v>47</v>
      </c>
      <c r="J329" s="8"/>
      <c r="K329" s="9" t="str">
        <f t="shared" si="3"/>
        <v/>
      </c>
      <c r="L329" s="9">
        <f t="shared" si="5"/>
        <v>43643.27869</v>
      </c>
      <c r="M329" s="27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>
      <c r="A330" s="28"/>
      <c r="B330" s="19">
        <v>40872.0</v>
      </c>
      <c r="C330" s="20">
        <v>47.0</v>
      </c>
      <c r="D330" s="26">
        <v>329.0</v>
      </c>
      <c r="E330" s="9">
        <f t="shared" si="34"/>
        <v>6934.133333</v>
      </c>
      <c r="F330" s="9">
        <f t="shared" si="35"/>
        <v>0.6666666667</v>
      </c>
      <c r="G330" s="22">
        <f t="shared" si="36"/>
        <v>7038.357706</v>
      </c>
      <c r="H330" s="8"/>
      <c r="I330" s="9">
        <f t="shared" si="2"/>
        <v>47</v>
      </c>
      <c r="J330" s="8"/>
      <c r="K330" s="9" t="str">
        <f t="shared" si="3"/>
        <v/>
      </c>
      <c r="L330" s="9">
        <f t="shared" si="5"/>
        <v>43643.27869</v>
      </c>
      <c r="M330" s="27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>
      <c r="A331" s="28"/>
      <c r="B331" s="19">
        <v>40873.0</v>
      </c>
      <c r="C331" s="20">
        <v>48.0</v>
      </c>
      <c r="D331" s="26">
        <v>330.0</v>
      </c>
      <c r="E331" s="9">
        <f t="shared" si="34"/>
        <v>6934.133333</v>
      </c>
      <c r="F331" s="9">
        <f t="shared" si="35"/>
        <v>0.6333333333</v>
      </c>
      <c r="G331" s="22">
        <f t="shared" si="36"/>
        <v>7048.780143</v>
      </c>
      <c r="H331" s="8"/>
      <c r="I331" s="9">
        <f t="shared" si="2"/>
        <v>48</v>
      </c>
      <c r="J331" s="22">
        <f>SUM(G331:G337)</f>
        <v>49560.33219</v>
      </c>
      <c r="K331" s="22">
        <f t="shared" si="3"/>
        <v>49560.33219</v>
      </c>
      <c r="L331" s="9">
        <f t="shared" si="5"/>
        <v>43643.27869</v>
      </c>
      <c r="M331" s="24">
        <v>43643.27869</v>
      </c>
      <c r="N331" s="25">
        <v>12928.02655</v>
      </c>
      <c r="O331" s="25">
        <v>12267.59925</v>
      </c>
      <c r="P331" s="25">
        <v>3122.054836</v>
      </c>
      <c r="Q331" s="25">
        <v>22303.17135</v>
      </c>
      <c r="R331" s="18"/>
      <c r="S331" s="25">
        <v>11638.12622</v>
      </c>
      <c r="T331" s="25">
        <v>9912.97654</v>
      </c>
      <c r="U331" s="25">
        <v>2716.548715</v>
      </c>
      <c r="V331" s="25">
        <v>19939.64777</v>
      </c>
      <c r="W331" s="25">
        <v>1289.900326</v>
      </c>
      <c r="X331" s="25">
        <v>2354.622706</v>
      </c>
      <c r="Y331" s="25">
        <v>405.5061203</v>
      </c>
      <c r="Z331" s="25">
        <v>2363.523572</v>
      </c>
    </row>
    <row r="332">
      <c r="A332" s="28"/>
      <c r="B332" s="19">
        <v>40874.0</v>
      </c>
      <c r="C332" s="20">
        <v>48.0</v>
      </c>
      <c r="D332" s="26">
        <v>331.0</v>
      </c>
      <c r="E332" s="9">
        <f t="shared" si="34"/>
        <v>6934.133333</v>
      </c>
      <c r="F332" s="9">
        <f t="shared" si="35"/>
        <v>0.6</v>
      </c>
      <c r="G332" s="22">
        <f t="shared" si="36"/>
        <v>7059.202581</v>
      </c>
      <c r="H332" s="8"/>
      <c r="I332" s="9">
        <f t="shared" si="2"/>
        <v>48</v>
      </c>
      <c r="J332" s="8"/>
      <c r="K332" s="9" t="str">
        <f t="shared" si="3"/>
        <v/>
      </c>
      <c r="L332" s="9">
        <f t="shared" si="5"/>
        <v>43643.27869</v>
      </c>
      <c r="M332" s="27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>
      <c r="A333" s="28"/>
      <c r="B333" s="19">
        <v>40875.0</v>
      </c>
      <c r="C333" s="20">
        <v>48.0</v>
      </c>
      <c r="D333" s="26">
        <v>332.0</v>
      </c>
      <c r="E333" s="9">
        <f t="shared" si="34"/>
        <v>6934.133333</v>
      </c>
      <c r="F333" s="9">
        <f t="shared" si="35"/>
        <v>0.5666666667</v>
      </c>
      <c r="G333" s="22">
        <f t="shared" si="36"/>
        <v>7069.625018</v>
      </c>
      <c r="H333" s="8"/>
      <c r="I333" s="9">
        <f t="shared" si="2"/>
        <v>48</v>
      </c>
      <c r="J333" s="8"/>
      <c r="K333" s="9" t="str">
        <f t="shared" si="3"/>
        <v/>
      </c>
      <c r="L333" s="9">
        <f t="shared" si="5"/>
        <v>43643.27869</v>
      </c>
      <c r="M333" s="27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>
      <c r="A334" s="28"/>
      <c r="B334" s="19">
        <v>40876.0</v>
      </c>
      <c r="C334" s="20">
        <v>48.0</v>
      </c>
      <c r="D334" s="26">
        <v>333.0</v>
      </c>
      <c r="E334" s="9">
        <f t="shared" si="34"/>
        <v>6934.133333</v>
      </c>
      <c r="F334" s="9">
        <f t="shared" si="35"/>
        <v>0.5333333333</v>
      </c>
      <c r="G334" s="22">
        <f t="shared" si="36"/>
        <v>7080.047455</v>
      </c>
      <c r="H334" s="8"/>
      <c r="I334" s="9">
        <f t="shared" si="2"/>
        <v>48</v>
      </c>
      <c r="J334" s="8"/>
      <c r="K334" s="9" t="str">
        <f t="shared" si="3"/>
        <v/>
      </c>
      <c r="L334" s="9">
        <f t="shared" si="5"/>
        <v>43643.27869</v>
      </c>
      <c r="M334" s="27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>
      <c r="A335" s="28"/>
      <c r="B335" s="19">
        <v>40877.0</v>
      </c>
      <c r="C335" s="20">
        <v>48.0</v>
      </c>
      <c r="D335" s="26">
        <v>334.0</v>
      </c>
      <c r="E335" s="9">
        <f t="shared" si="34"/>
        <v>6934.133333</v>
      </c>
      <c r="F335" s="9">
        <f t="shared" si="35"/>
        <v>0.5</v>
      </c>
      <c r="G335" s="22">
        <f t="shared" si="36"/>
        <v>7090.469892</v>
      </c>
      <c r="H335" s="8"/>
      <c r="I335" s="9">
        <f t="shared" si="2"/>
        <v>48</v>
      </c>
      <c r="J335" s="8"/>
      <c r="K335" s="9" t="str">
        <f t="shared" si="3"/>
        <v/>
      </c>
      <c r="L335" s="9">
        <f t="shared" si="5"/>
        <v>43643.27869</v>
      </c>
      <c r="M335" s="27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>
      <c r="A336" s="28"/>
      <c r="B336" s="19">
        <v>40878.0</v>
      </c>
      <c r="C336" s="20">
        <v>48.0</v>
      </c>
      <c r="D336" s="26">
        <v>335.0</v>
      </c>
      <c r="E336" s="9">
        <f>A338/31</f>
        <v>7246.806452</v>
      </c>
      <c r="F336" s="9">
        <f t="shared" si="35"/>
        <v>0.4666666667</v>
      </c>
      <c r="G336" s="22">
        <f t="shared" si="36"/>
        <v>7100.89233</v>
      </c>
      <c r="H336" s="8"/>
      <c r="I336" s="9">
        <f t="shared" si="2"/>
        <v>48</v>
      </c>
      <c r="J336" s="8"/>
      <c r="K336" s="9" t="str">
        <f t="shared" si="3"/>
        <v/>
      </c>
      <c r="L336" s="9">
        <f t="shared" si="5"/>
        <v>43643.27869</v>
      </c>
      <c r="M336" s="27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>
      <c r="A337" s="13" t="s">
        <v>75</v>
      </c>
      <c r="B337" s="19">
        <v>40879.0</v>
      </c>
      <c r="C337" s="20">
        <v>48.0</v>
      </c>
      <c r="D337" s="26">
        <v>336.0</v>
      </c>
      <c r="E337" s="9">
        <f>A338/31</f>
        <v>7246.806452</v>
      </c>
      <c r="F337" s="9">
        <f t="shared" si="35"/>
        <v>0.4333333333</v>
      </c>
      <c r="G337" s="22">
        <f t="shared" si="36"/>
        <v>7111.314767</v>
      </c>
      <c r="H337" s="8"/>
      <c r="I337" s="9">
        <f t="shared" si="2"/>
        <v>48</v>
      </c>
      <c r="J337" s="8"/>
      <c r="K337" s="9" t="str">
        <f t="shared" si="3"/>
        <v/>
      </c>
      <c r="L337" s="9">
        <f t="shared" si="5"/>
        <v>43643.27869</v>
      </c>
      <c r="M337" s="27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>
      <c r="A338" s="20">
        <v>224651.0</v>
      </c>
      <c r="B338" s="19">
        <v>40880.0</v>
      </c>
      <c r="C338" s="20">
        <v>49.0</v>
      </c>
      <c r="D338" s="26">
        <v>337.0</v>
      </c>
      <c r="E338" s="9">
        <f t="shared" ref="E338:E366" si="37">E337</f>
        <v>7246.806452</v>
      </c>
      <c r="F338" s="9">
        <f t="shared" si="35"/>
        <v>0.4</v>
      </c>
      <c r="G338" s="22">
        <f t="shared" si="36"/>
        <v>7121.737204</v>
      </c>
      <c r="H338" s="8"/>
      <c r="I338" s="9">
        <f t="shared" si="2"/>
        <v>49</v>
      </c>
      <c r="J338" s="22">
        <f>SUM(G338:G344)</f>
        <v>50071.03161</v>
      </c>
      <c r="K338" s="22">
        <f t="shared" si="3"/>
        <v>50071.03161</v>
      </c>
      <c r="L338" s="9">
        <f t="shared" si="5"/>
        <v>43643.27869</v>
      </c>
      <c r="M338" s="24">
        <v>43643.27869</v>
      </c>
      <c r="N338" s="25">
        <v>13796.38883</v>
      </c>
      <c r="O338" s="25">
        <v>11958.72883</v>
      </c>
      <c r="P338" s="25">
        <v>3011.889806</v>
      </c>
      <c r="Q338" s="25">
        <v>22671.06785</v>
      </c>
      <c r="R338" s="18"/>
      <c r="S338" s="25">
        <v>11653.19668</v>
      </c>
      <c r="T338" s="25">
        <v>10025.37807</v>
      </c>
      <c r="U338" s="25">
        <v>2541.810054</v>
      </c>
      <c r="V338" s="25">
        <v>19883.36038</v>
      </c>
      <c r="W338" s="25">
        <v>2143.192143</v>
      </c>
      <c r="X338" s="25">
        <v>1933.350755</v>
      </c>
      <c r="Y338" s="25">
        <v>470.0797523</v>
      </c>
      <c r="Z338" s="25">
        <v>2787.707468</v>
      </c>
    </row>
    <row r="339">
      <c r="A339" s="28"/>
      <c r="B339" s="19">
        <v>40881.0</v>
      </c>
      <c r="C339" s="20">
        <v>49.0</v>
      </c>
      <c r="D339" s="26">
        <v>338.0</v>
      </c>
      <c r="E339" s="9">
        <f t="shared" si="37"/>
        <v>7246.806452</v>
      </c>
      <c r="F339" s="9">
        <f t="shared" si="35"/>
        <v>0.3666666667</v>
      </c>
      <c r="G339" s="22">
        <f t="shared" si="36"/>
        <v>7132.159642</v>
      </c>
      <c r="H339" s="8"/>
      <c r="I339" s="9">
        <f t="shared" si="2"/>
        <v>49</v>
      </c>
      <c r="J339" s="8"/>
      <c r="K339" s="9" t="str">
        <f t="shared" si="3"/>
        <v/>
      </c>
      <c r="L339" s="9">
        <f t="shared" si="5"/>
        <v>43643.27869</v>
      </c>
      <c r="M339" s="27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>
      <c r="A340" s="28"/>
      <c r="B340" s="19">
        <v>40882.0</v>
      </c>
      <c r="C340" s="20">
        <v>49.0</v>
      </c>
      <c r="D340" s="26">
        <v>339.0</v>
      </c>
      <c r="E340" s="9">
        <f t="shared" si="37"/>
        <v>7246.806452</v>
      </c>
      <c r="F340" s="9">
        <f t="shared" si="35"/>
        <v>0.3333333333</v>
      </c>
      <c r="G340" s="22">
        <f t="shared" si="36"/>
        <v>7142.582079</v>
      </c>
      <c r="H340" s="8"/>
      <c r="I340" s="9">
        <f t="shared" si="2"/>
        <v>49</v>
      </c>
      <c r="J340" s="8"/>
      <c r="K340" s="9" t="str">
        <f t="shared" si="3"/>
        <v/>
      </c>
      <c r="L340" s="9">
        <f t="shared" si="5"/>
        <v>43643.27869</v>
      </c>
      <c r="M340" s="27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>
      <c r="A341" s="28"/>
      <c r="B341" s="19">
        <v>40883.0</v>
      </c>
      <c r="C341" s="20">
        <v>49.0</v>
      </c>
      <c r="D341" s="26">
        <v>340.0</v>
      </c>
      <c r="E341" s="9">
        <f t="shared" si="37"/>
        <v>7246.806452</v>
      </c>
      <c r="F341" s="9">
        <f t="shared" si="35"/>
        <v>0.3</v>
      </c>
      <c r="G341" s="22">
        <f t="shared" si="36"/>
        <v>7153.004516</v>
      </c>
      <c r="H341" s="8"/>
      <c r="I341" s="9">
        <f t="shared" si="2"/>
        <v>49</v>
      </c>
      <c r="J341" s="8"/>
      <c r="K341" s="9" t="str">
        <f t="shared" si="3"/>
        <v/>
      </c>
      <c r="L341" s="9">
        <f t="shared" si="5"/>
        <v>43643.27869</v>
      </c>
      <c r="M341" s="27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>
      <c r="A342" s="28"/>
      <c r="B342" s="19">
        <v>40884.0</v>
      </c>
      <c r="C342" s="20">
        <v>49.0</v>
      </c>
      <c r="D342" s="26">
        <v>341.0</v>
      </c>
      <c r="E342" s="9">
        <f t="shared" si="37"/>
        <v>7246.806452</v>
      </c>
      <c r="F342" s="9">
        <f t="shared" si="35"/>
        <v>0.2666666667</v>
      </c>
      <c r="G342" s="22">
        <f t="shared" si="36"/>
        <v>7163.426953</v>
      </c>
      <c r="H342" s="8"/>
      <c r="I342" s="9">
        <f t="shared" si="2"/>
        <v>49</v>
      </c>
      <c r="J342" s="8"/>
      <c r="K342" s="9" t="str">
        <f t="shared" si="3"/>
        <v/>
      </c>
      <c r="L342" s="9">
        <f t="shared" si="5"/>
        <v>43643.27869</v>
      </c>
      <c r="M342" s="27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>
      <c r="A343" s="28"/>
      <c r="B343" s="19">
        <v>40885.0</v>
      </c>
      <c r="C343" s="20">
        <v>49.0</v>
      </c>
      <c r="D343" s="26">
        <v>342.0</v>
      </c>
      <c r="E343" s="9">
        <f t="shared" si="37"/>
        <v>7246.806452</v>
      </c>
      <c r="F343" s="9">
        <f t="shared" si="35"/>
        <v>0.2333333333</v>
      </c>
      <c r="G343" s="22">
        <f t="shared" si="36"/>
        <v>7173.849391</v>
      </c>
      <c r="H343" s="8"/>
      <c r="I343" s="9">
        <f t="shared" si="2"/>
        <v>49</v>
      </c>
      <c r="J343" s="8"/>
      <c r="K343" s="9" t="str">
        <f t="shared" si="3"/>
        <v/>
      </c>
      <c r="L343" s="9">
        <f t="shared" si="5"/>
        <v>43643.27869</v>
      </c>
      <c r="M343" s="27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>
      <c r="A344" s="28"/>
      <c r="B344" s="19">
        <v>40886.0</v>
      </c>
      <c r="C344" s="20">
        <v>49.0</v>
      </c>
      <c r="D344" s="26">
        <v>343.0</v>
      </c>
      <c r="E344" s="9">
        <f t="shared" si="37"/>
        <v>7246.806452</v>
      </c>
      <c r="F344" s="9">
        <f t="shared" si="35"/>
        <v>0.2</v>
      </c>
      <c r="G344" s="22">
        <f t="shared" si="36"/>
        <v>7184.271828</v>
      </c>
      <c r="H344" s="8"/>
      <c r="I344" s="9">
        <f t="shared" si="2"/>
        <v>49</v>
      </c>
      <c r="J344" s="8"/>
      <c r="K344" s="9" t="str">
        <f t="shared" si="3"/>
        <v/>
      </c>
      <c r="L344" s="9">
        <f t="shared" si="5"/>
        <v>43643.27869</v>
      </c>
      <c r="M344" s="27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>
      <c r="A345" s="28"/>
      <c r="B345" s="19">
        <v>40887.0</v>
      </c>
      <c r="C345" s="20">
        <v>50.0</v>
      </c>
      <c r="D345" s="26">
        <v>344.0</v>
      </c>
      <c r="E345" s="9">
        <f t="shared" si="37"/>
        <v>7246.806452</v>
      </c>
      <c r="F345" s="9">
        <f t="shared" si="35"/>
        <v>0.1666666667</v>
      </c>
      <c r="G345" s="22">
        <f t="shared" si="36"/>
        <v>7194.694265</v>
      </c>
      <c r="H345" s="8"/>
      <c r="I345" s="9">
        <f t="shared" si="2"/>
        <v>50</v>
      </c>
      <c r="J345" s="22">
        <f>SUM(G345:G351)</f>
        <v>50576.67801</v>
      </c>
      <c r="K345" s="22">
        <f t="shared" si="3"/>
        <v>50576.67801</v>
      </c>
      <c r="L345" s="9">
        <f t="shared" si="5"/>
        <v>43643.27869</v>
      </c>
      <c r="M345" s="24">
        <v>43643.27869</v>
      </c>
      <c r="N345" s="25">
        <v>13071.68016</v>
      </c>
      <c r="O345" s="25">
        <v>11778.79904</v>
      </c>
      <c r="P345" s="25">
        <v>3046.989227</v>
      </c>
      <c r="Q345" s="25">
        <v>23027.86698</v>
      </c>
      <c r="R345" s="18"/>
      <c r="S345" s="25">
        <v>11576.29474</v>
      </c>
      <c r="T345" s="25">
        <v>10482.88554</v>
      </c>
      <c r="U345" s="25">
        <v>2642.96584</v>
      </c>
      <c r="V345" s="25">
        <v>18847.75467</v>
      </c>
      <c r="W345" s="25">
        <v>1495.385415</v>
      </c>
      <c r="X345" s="25">
        <v>1295.913506</v>
      </c>
      <c r="Y345" s="25">
        <v>404.0233875</v>
      </c>
      <c r="Z345" s="25">
        <v>4180.112303</v>
      </c>
    </row>
    <row r="346">
      <c r="A346" s="28"/>
      <c r="B346" s="19">
        <v>40888.0</v>
      </c>
      <c r="C346" s="20">
        <v>50.0</v>
      </c>
      <c r="D346" s="26">
        <v>345.0</v>
      </c>
      <c r="E346" s="9">
        <f t="shared" si="37"/>
        <v>7246.806452</v>
      </c>
      <c r="F346" s="9">
        <f t="shared" si="35"/>
        <v>0.1333333333</v>
      </c>
      <c r="G346" s="22">
        <f t="shared" si="36"/>
        <v>7205.116703</v>
      </c>
      <c r="H346" s="8"/>
      <c r="I346" s="9">
        <f t="shared" si="2"/>
        <v>50</v>
      </c>
      <c r="J346" s="8"/>
      <c r="K346" s="9" t="str">
        <f t="shared" si="3"/>
        <v/>
      </c>
      <c r="L346" s="9">
        <f t="shared" si="5"/>
        <v>43643.27869</v>
      </c>
      <c r="M346" s="27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>
      <c r="A347" s="28"/>
      <c r="B347" s="19">
        <v>40889.0</v>
      </c>
      <c r="C347" s="20">
        <v>50.0</v>
      </c>
      <c r="D347" s="26">
        <v>346.0</v>
      </c>
      <c r="E347" s="9">
        <f t="shared" si="37"/>
        <v>7246.806452</v>
      </c>
      <c r="F347" s="9">
        <f t="shared" si="35"/>
        <v>0.1</v>
      </c>
      <c r="G347" s="22">
        <f t="shared" si="36"/>
        <v>7215.53914</v>
      </c>
      <c r="H347" s="8"/>
      <c r="I347" s="9">
        <f t="shared" si="2"/>
        <v>50</v>
      </c>
      <c r="J347" s="8"/>
      <c r="K347" s="9" t="str">
        <f t="shared" si="3"/>
        <v/>
      </c>
      <c r="L347" s="9">
        <f t="shared" si="5"/>
        <v>43643.27869</v>
      </c>
      <c r="M347" s="27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>
      <c r="A348" s="28"/>
      <c r="B348" s="19">
        <v>40890.0</v>
      </c>
      <c r="C348" s="20">
        <v>50.0</v>
      </c>
      <c r="D348" s="26">
        <v>347.0</v>
      </c>
      <c r="E348" s="9">
        <f t="shared" si="37"/>
        <v>7246.806452</v>
      </c>
      <c r="F348" s="9">
        <f t="shared" si="35"/>
        <v>0.06666666667</v>
      </c>
      <c r="G348" s="22">
        <f t="shared" si="36"/>
        <v>7225.961577</v>
      </c>
      <c r="H348" s="8"/>
      <c r="I348" s="9">
        <f t="shared" si="2"/>
        <v>50</v>
      </c>
      <c r="J348" s="8"/>
      <c r="K348" s="9" t="str">
        <f t="shared" si="3"/>
        <v/>
      </c>
      <c r="L348" s="9">
        <f t="shared" si="5"/>
        <v>43643.27869</v>
      </c>
      <c r="M348" s="27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>
      <c r="A349" s="28"/>
      <c r="B349" s="19">
        <v>40891.0</v>
      </c>
      <c r="C349" s="20">
        <v>50.0</v>
      </c>
      <c r="D349" s="26">
        <v>348.0</v>
      </c>
      <c r="E349" s="9">
        <f t="shared" si="37"/>
        <v>7246.806452</v>
      </c>
      <c r="F349" s="9">
        <f t="shared" si="35"/>
        <v>0.03333333333</v>
      </c>
      <c r="G349" s="22">
        <f t="shared" si="36"/>
        <v>7236.384014</v>
      </c>
      <c r="H349" s="8"/>
      <c r="I349" s="9">
        <f t="shared" si="2"/>
        <v>50</v>
      </c>
      <c r="J349" s="8"/>
      <c r="K349" s="9" t="str">
        <f t="shared" si="3"/>
        <v/>
      </c>
      <c r="L349" s="9">
        <f t="shared" si="5"/>
        <v>43643.27869</v>
      </c>
      <c r="M349" s="27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>
      <c r="A350" s="28"/>
      <c r="B350" s="19">
        <v>40892.0</v>
      </c>
      <c r="C350" s="20">
        <v>50.0</v>
      </c>
      <c r="D350" s="26">
        <v>349.0</v>
      </c>
      <c r="E350" s="9">
        <f t="shared" si="37"/>
        <v>7246.806452</v>
      </c>
      <c r="F350" s="9">
        <f t="shared" si="35"/>
        <v>0</v>
      </c>
      <c r="G350" s="22">
        <f t="shared" si="36"/>
        <v>7246.806452</v>
      </c>
      <c r="H350" s="8"/>
      <c r="I350" s="9">
        <f t="shared" si="2"/>
        <v>50</v>
      </c>
      <c r="J350" s="8"/>
      <c r="K350" s="9" t="str">
        <f t="shared" si="3"/>
        <v/>
      </c>
      <c r="L350" s="9">
        <f t="shared" si="5"/>
        <v>43643.27869</v>
      </c>
      <c r="M350" s="27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>
      <c r="A351" s="13"/>
      <c r="B351" s="19">
        <v>40893.0</v>
      </c>
      <c r="C351" s="20">
        <v>50.0</v>
      </c>
      <c r="D351" s="26">
        <v>350.0</v>
      </c>
      <c r="E351" s="9">
        <f t="shared" si="37"/>
        <v>7246.806452</v>
      </c>
      <c r="F351" s="9">
        <f t="shared" ref="F351:F381" si="38">abs((D351-380)/(380-349))</f>
        <v>0.9677419355</v>
      </c>
      <c r="G351" s="22">
        <f t="shared" ref="G351:G381" si="39">E336*F351+(1-F351)*E2</f>
        <v>7252.175858</v>
      </c>
      <c r="H351" s="8"/>
      <c r="I351" s="9">
        <f t="shared" si="2"/>
        <v>50</v>
      </c>
      <c r="J351" s="8"/>
      <c r="K351" s="9" t="str">
        <f t="shared" si="3"/>
        <v/>
      </c>
      <c r="L351" s="9">
        <f t="shared" si="5"/>
        <v>43643.27869</v>
      </c>
      <c r="M351" s="27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>
      <c r="A352" s="13"/>
      <c r="B352" s="19">
        <v>40894.0</v>
      </c>
      <c r="C352" s="20">
        <v>51.0</v>
      </c>
      <c r="D352" s="26">
        <v>351.0</v>
      </c>
      <c r="E352" s="9">
        <f t="shared" si="37"/>
        <v>7246.806452</v>
      </c>
      <c r="F352" s="9">
        <f t="shared" si="38"/>
        <v>0.935483871</v>
      </c>
      <c r="G352" s="22">
        <f t="shared" si="39"/>
        <v>7257.545265</v>
      </c>
      <c r="H352" s="8"/>
      <c r="I352" s="9">
        <f t="shared" si="2"/>
        <v>51</v>
      </c>
      <c r="J352" s="22">
        <f>SUM(G352:G358)</f>
        <v>50915.5744</v>
      </c>
      <c r="K352" s="22">
        <f t="shared" si="3"/>
        <v>50915.5744</v>
      </c>
      <c r="L352" s="9">
        <f t="shared" si="5"/>
        <v>43643.27869</v>
      </c>
      <c r="M352" s="24">
        <v>43643.27869</v>
      </c>
      <c r="N352" s="25">
        <v>14242.91773</v>
      </c>
      <c r="O352" s="25">
        <v>12548.03658</v>
      </c>
      <c r="P352" s="25">
        <v>3135.626313</v>
      </c>
      <c r="Q352" s="25">
        <v>22442.9978</v>
      </c>
      <c r="R352" s="18"/>
      <c r="S352" s="25">
        <v>12030.6722</v>
      </c>
      <c r="T352" s="25">
        <v>10712.87454</v>
      </c>
      <c r="U352" s="25">
        <v>2517.182499</v>
      </c>
      <c r="V352" s="25">
        <v>18818.2702</v>
      </c>
      <c r="W352" s="25">
        <v>2212.24553</v>
      </c>
      <c r="X352" s="25">
        <v>1835.162036</v>
      </c>
      <c r="Y352" s="25">
        <v>618.4438135</v>
      </c>
      <c r="Z352" s="25">
        <v>3624.727602</v>
      </c>
    </row>
    <row r="353">
      <c r="A353" s="28"/>
      <c r="B353" s="19">
        <v>40895.0</v>
      </c>
      <c r="C353" s="20">
        <v>51.0</v>
      </c>
      <c r="D353" s="26">
        <v>352.0</v>
      </c>
      <c r="E353" s="9">
        <f t="shared" si="37"/>
        <v>7246.806452</v>
      </c>
      <c r="F353" s="9">
        <f t="shared" si="38"/>
        <v>0.9032258065</v>
      </c>
      <c r="G353" s="22">
        <f t="shared" si="39"/>
        <v>7262.914672</v>
      </c>
      <c r="H353" s="8"/>
      <c r="I353" s="9">
        <f t="shared" si="2"/>
        <v>51</v>
      </c>
      <c r="J353" s="8"/>
      <c r="K353" s="9" t="str">
        <f t="shared" si="3"/>
        <v/>
      </c>
      <c r="L353" s="9">
        <f t="shared" si="5"/>
        <v>43643.27869</v>
      </c>
      <c r="M353" s="27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>
      <c r="A354" s="28"/>
      <c r="B354" s="19">
        <v>40896.0</v>
      </c>
      <c r="C354" s="20">
        <v>51.0</v>
      </c>
      <c r="D354" s="26">
        <v>353.0</v>
      </c>
      <c r="E354" s="9">
        <f t="shared" si="37"/>
        <v>7246.806452</v>
      </c>
      <c r="F354" s="9">
        <f t="shared" si="38"/>
        <v>0.8709677419</v>
      </c>
      <c r="G354" s="22">
        <f t="shared" si="39"/>
        <v>7268.284079</v>
      </c>
      <c r="H354" s="8"/>
      <c r="I354" s="9">
        <f t="shared" si="2"/>
        <v>51</v>
      </c>
      <c r="J354" s="8"/>
      <c r="K354" s="9" t="str">
        <f t="shared" si="3"/>
        <v/>
      </c>
      <c r="L354" s="9">
        <f t="shared" si="5"/>
        <v>43643.27869</v>
      </c>
      <c r="M354" s="27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>
      <c r="A355" s="28"/>
      <c r="B355" s="19">
        <v>40897.0</v>
      </c>
      <c r="C355" s="20">
        <v>51.0</v>
      </c>
      <c r="D355" s="26">
        <v>354.0</v>
      </c>
      <c r="E355" s="9">
        <f t="shared" si="37"/>
        <v>7246.806452</v>
      </c>
      <c r="F355" s="9">
        <f t="shared" si="38"/>
        <v>0.8387096774</v>
      </c>
      <c r="G355" s="22">
        <f t="shared" si="39"/>
        <v>7273.653486</v>
      </c>
      <c r="H355" s="8"/>
      <c r="I355" s="9">
        <f t="shared" si="2"/>
        <v>51</v>
      </c>
      <c r="J355" s="8"/>
      <c r="K355" s="9" t="str">
        <f t="shared" si="3"/>
        <v/>
      </c>
      <c r="L355" s="9">
        <f t="shared" si="5"/>
        <v>43643.27869</v>
      </c>
      <c r="M355" s="27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>
      <c r="A356" s="28"/>
      <c r="B356" s="19">
        <v>40898.0</v>
      </c>
      <c r="C356" s="20">
        <v>51.0</v>
      </c>
      <c r="D356" s="26">
        <v>355.0</v>
      </c>
      <c r="E356" s="9">
        <f t="shared" si="37"/>
        <v>7246.806452</v>
      </c>
      <c r="F356" s="9">
        <f t="shared" si="38"/>
        <v>0.8064516129</v>
      </c>
      <c r="G356" s="22">
        <f t="shared" si="39"/>
        <v>7279.022893</v>
      </c>
      <c r="H356" s="8"/>
      <c r="I356" s="9">
        <f t="shared" si="2"/>
        <v>51</v>
      </c>
      <c r="J356" s="8"/>
      <c r="K356" s="9" t="str">
        <f t="shared" si="3"/>
        <v/>
      </c>
      <c r="L356" s="9">
        <f t="shared" si="5"/>
        <v>43643.27869</v>
      </c>
      <c r="M356" s="27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>
      <c r="A357" s="28"/>
      <c r="B357" s="19">
        <v>40899.0</v>
      </c>
      <c r="C357" s="20">
        <v>51.0</v>
      </c>
      <c r="D357" s="26">
        <v>356.0</v>
      </c>
      <c r="E357" s="9">
        <f t="shared" si="37"/>
        <v>7246.806452</v>
      </c>
      <c r="F357" s="9">
        <f t="shared" si="38"/>
        <v>0.7741935484</v>
      </c>
      <c r="G357" s="22">
        <f t="shared" si="39"/>
        <v>7284.3923</v>
      </c>
      <c r="H357" s="8"/>
      <c r="I357" s="9">
        <f t="shared" si="2"/>
        <v>51</v>
      </c>
      <c r="J357" s="8"/>
      <c r="K357" s="9" t="str">
        <f t="shared" si="3"/>
        <v/>
      </c>
      <c r="L357" s="9">
        <f t="shared" si="5"/>
        <v>43643.27869</v>
      </c>
      <c r="M357" s="27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>
      <c r="A358" s="28"/>
      <c r="B358" s="19">
        <v>40900.0</v>
      </c>
      <c r="C358" s="20">
        <v>51.0</v>
      </c>
      <c r="D358" s="26">
        <v>357.0</v>
      </c>
      <c r="E358" s="9">
        <f t="shared" si="37"/>
        <v>7246.806452</v>
      </c>
      <c r="F358" s="9">
        <f t="shared" si="38"/>
        <v>0.7419354839</v>
      </c>
      <c r="G358" s="22">
        <f t="shared" si="39"/>
        <v>7289.761707</v>
      </c>
      <c r="H358" s="8"/>
      <c r="I358" s="9">
        <f t="shared" si="2"/>
        <v>51</v>
      </c>
      <c r="J358" s="8"/>
      <c r="K358" s="9" t="str">
        <f t="shared" si="3"/>
        <v/>
      </c>
      <c r="L358" s="9">
        <f t="shared" si="5"/>
        <v>43643.27869</v>
      </c>
      <c r="M358" s="27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>
      <c r="A359" s="28"/>
      <c r="B359" s="19">
        <v>40901.0</v>
      </c>
      <c r="C359" s="20">
        <v>52.0</v>
      </c>
      <c r="D359" s="26">
        <v>358.0</v>
      </c>
      <c r="E359" s="9">
        <f t="shared" si="37"/>
        <v>7246.806452</v>
      </c>
      <c r="F359" s="9">
        <f t="shared" si="38"/>
        <v>0.7096774194</v>
      </c>
      <c r="G359" s="22">
        <f t="shared" si="39"/>
        <v>7295.131113</v>
      </c>
      <c r="H359" s="8"/>
      <c r="I359" s="9">
        <f t="shared" si="2"/>
        <v>52</v>
      </c>
      <c r="J359" s="22">
        <f>SUM(G359:G365)</f>
        <v>51178.67534</v>
      </c>
      <c r="K359" s="22">
        <f t="shared" si="3"/>
        <v>51178.67534</v>
      </c>
      <c r="L359" s="9">
        <f t="shared" si="5"/>
        <v>43643.27869</v>
      </c>
      <c r="M359" s="24">
        <v>43643.27869</v>
      </c>
      <c r="N359" s="25">
        <v>13284.8341</v>
      </c>
      <c r="O359" s="25">
        <v>12706.35134</v>
      </c>
      <c r="P359" s="25">
        <v>3045.292202</v>
      </c>
      <c r="Q359" s="25">
        <v>22615.77809</v>
      </c>
      <c r="R359" s="18"/>
      <c r="S359" s="25">
        <v>11294.93407</v>
      </c>
      <c r="T359" s="25">
        <v>10506.891</v>
      </c>
      <c r="U359" s="25">
        <v>2776.355479</v>
      </c>
      <c r="V359" s="25">
        <v>19827.19707</v>
      </c>
      <c r="W359" s="25">
        <v>1989.900034</v>
      </c>
      <c r="X359" s="25">
        <v>2199.46034</v>
      </c>
      <c r="Y359" s="25">
        <v>268.9367233</v>
      </c>
      <c r="Z359" s="25">
        <v>2788.581028</v>
      </c>
    </row>
    <row r="360">
      <c r="A360" s="28"/>
      <c r="B360" s="19">
        <v>40902.0</v>
      </c>
      <c r="C360" s="20">
        <v>52.0</v>
      </c>
      <c r="D360" s="26">
        <v>359.0</v>
      </c>
      <c r="E360" s="9">
        <f t="shared" si="37"/>
        <v>7246.806452</v>
      </c>
      <c r="F360" s="9">
        <f t="shared" si="38"/>
        <v>0.6774193548</v>
      </c>
      <c r="G360" s="22">
        <f t="shared" si="39"/>
        <v>7300.50052</v>
      </c>
      <c r="H360" s="8"/>
      <c r="I360" s="9">
        <f t="shared" si="2"/>
        <v>52</v>
      </c>
      <c r="J360" s="8"/>
      <c r="K360" s="8"/>
      <c r="L360" s="9">
        <f t="shared" si="5"/>
        <v>43643.27869</v>
      </c>
      <c r="M360" s="27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>
      <c r="A361" s="28"/>
      <c r="B361" s="19">
        <v>40903.0</v>
      </c>
      <c r="C361" s="20">
        <v>52.0</v>
      </c>
      <c r="D361" s="26">
        <v>360.0</v>
      </c>
      <c r="E361" s="9">
        <f t="shared" si="37"/>
        <v>7246.806452</v>
      </c>
      <c r="F361" s="9">
        <f t="shared" si="38"/>
        <v>0.6451612903</v>
      </c>
      <c r="G361" s="22">
        <f t="shared" si="39"/>
        <v>7305.869927</v>
      </c>
      <c r="H361" s="8"/>
      <c r="I361" s="9">
        <f t="shared" si="2"/>
        <v>52</v>
      </c>
      <c r="J361" s="8"/>
      <c r="K361" s="8"/>
      <c r="L361" s="9">
        <f t="shared" si="5"/>
        <v>43643.27869</v>
      </c>
      <c r="M361" s="27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>
      <c r="A362" s="28"/>
      <c r="B362" s="19">
        <v>40904.0</v>
      </c>
      <c r="C362" s="20">
        <v>52.0</v>
      </c>
      <c r="D362" s="26">
        <v>361.0</v>
      </c>
      <c r="E362" s="9">
        <f t="shared" si="37"/>
        <v>7246.806452</v>
      </c>
      <c r="F362" s="9">
        <f t="shared" si="38"/>
        <v>0.6129032258</v>
      </c>
      <c r="G362" s="22">
        <f t="shared" si="39"/>
        <v>7311.239334</v>
      </c>
      <c r="H362" s="8"/>
      <c r="I362" s="9">
        <f t="shared" si="2"/>
        <v>52</v>
      </c>
      <c r="J362" s="8"/>
      <c r="K362" s="8"/>
      <c r="L362" s="9">
        <f t="shared" si="5"/>
        <v>43643.27869</v>
      </c>
      <c r="M362" s="27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>
      <c r="A363" s="28"/>
      <c r="B363" s="19">
        <v>40905.0</v>
      </c>
      <c r="C363" s="20">
        <v>52.0</v>
      </c>
      <c r="D363" s="26">
        <v>362.0</v>
      </c>
      <c r="E363" s="9">
        <f t="shared" si="37"/>
        <v>7246.806452</v>
      </c>
      <c r="F363" s="9">
        <f t="shared" si="38"/>
        <v>0.5806451613</v>
      </c>
      <c r="G363" s="22">
        <f t="shared" si="39"/>
        <v>7316.608741</v>
      </c>
      <c r="H363" s="8"/>
      <c r="I363" s="9">
        <f t="shared" si="2"/>
        <v>52</v>
      </c>
      <c r="J363" s="8"/>
      <c r="K363" s="8"/>
      <c r="L363" s="9">
        <f t="shared" si="5"/>
        <v>43643.27869</v>
      </c>
      <c r="M363" s="27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>
      <c r="A364" s="28"/>
      <c r="B364" s="19">
        <v>40906.0</v>
      </c>
      <c r="C364" s="20">
        <v>52.0</v>
      </c>
      <c r="D364" s="26">
        <v>363.0</v>
      </c>
      <c r="E364" s="9">
        <f t="shared" si="37"/>
        <v>7246.806452</v>
      </c>
      <c r="F364" s="9">
        <f t="shared" si="38"/>
        <v>0.5483870968</v>
      </c>
      <c r="G364" s="22">
        <f t="shared" si="39"/>
        <v>7321.978148</v>
      </c>
      <c r="H364" s="8"/>
      <c r="I364" s="9">
        <f t="shared" si="2"/>
        <v>52</v>
      </c>
      <c r="J364" s="8"/>
      <c r="K364" s="8"/>
      <c r="L364" s="9">
        <f t="shared" si="5"/>
        <v>43643.27869</v>
      </c>
      <c r="M364" s="27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>
      <c r="A365" s="28"/>
      <c r="B365" s="19">
        <v>40907.0</v>
      </c>
      <c r="C365" s="20">
        <v>52.0</v>
      </c>
      <c r="D365" s="26">
        <v>364.0</v>
      </c>
      <c r="E365" s="9">
        <f t="shared" si="37"/>
        <v>7246.806452</v>
      </c>
      <c r="F365" s="9">
        <f t="shared" si="38"/>
        <v>0.5161290323</v>
      </c>
      <c r="G365" s="22">
        <f t="shared" si="39"/>
        <v>7327.347555</v>
      </c>
      <c r="H365" s="8"/>
      <c r="I365" s="9">
        <f t="shared" si="2"/>
        <v>52</v>
      </c>
      <c r="J365" s="8"/>
      <c r="K365" s="8"/>
      <c r="L365" s="9">
        <f t="shared" si="5"/>
        <v>43643.27869</v>
      </c>
      <c r="M365" s="27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>
      <c r="A366" s="28"/>
      <c r="B366" s="19">
        <v>40908.0</v>
      </c>
      <c r="C366" s="20">
        <v>53.0</v>
      </c>
      <c r="D366" s="26">
        <v>365.0</v>
      </c>
      <c r="E366" s="9">
        <f t="shared" si="37"/>
        <v>7246.806452</v>
      </c>
      <c r="F366" s="9">
        <f t="shared" si="38"/>
        <v>0.4838709677</v>
      </c>
      <c r="G366" s="22">
        <f t="shared" si="39"/>
        <v>7332.716961</v>
      </c>
      <c r="H366" s="8"/>
      <c r="I366" s="8"/>
      <c r="J366" s="8"/>
      <c r="K366" s="8"/>
      <c r="L366" s="29"/>
      <c r="M366" s="27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>
      <c r="A367" s="28"/>
      <c r="B367" s="28"/>
      <c r="C367" s="28"/>
      <c r="D367" s="26">
        <v>366.0</v>
      </c>
      <c r="E367" s="30" t="s">
        <v>76</v>
      </c>
      <c r="F367" s="9">
        <f t="shared" si="38"/>
        <v>0.4516129032</v>
      </c>
      <c r="G367" s="22">
        <f t="shared" si="39"/>
        <v>7338.086368</v>
      </c>
      <c r="H367" s="8"/>
      <c r="I367" s="8"/>
      <c r="J367" s="8"/>
      <c r="K367" s="8"/>
      <c r="L367" s="29"/>
      <c r="M367" s="27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>
      <c r="A368" s="28"/>
      <c r="B368" s="28"/>
      <c r="C368" s="28"/>
      <c r="D368" s="26">
        <v>367.0</v>
      </c>
      <c r="E368" s="8"/>
      <c r="F368" s="9">
        <f t="shared" si="38"/>
        <v>0.4193548387</v>
      </c>
      <c r="G368" s="22">
        <f t="shared" si="39"/>
        <v>7343.455775</v>
      </c>
      <c r="H368" s="8"/>
      <c r="I368" s="8"/>
      <c r="J368" s="8"/>
      <c r="K368" s="8"/>
      <c r="L368" s="29"/>
      <c r="M368" s="27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>
      <c r="A369" s="28"/>
      <c r="B369" s="28"/>
      <c r="C369" s="28"/>
      <c r="D369" s="26">
        <v>368.0</v>
      </c>
      <c r="E369" s="8"/>
      <c r="F369" s="9">
        <f t="shared" si="38"/>
        <v>0.3870967742</v>
      </c>
      <c r="G369" s="22">
        <f t="shared" si="39"/>
        <v>7348.825182</v>
      </c>
      <c r="H369" s="8"/>
      <c r="I369" s="8"/>
      <c r="J369" s="8"/>
      <c r="K369" s="8"/>
      <c r="L369" s="29"/>
      <c r="M369" s="27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>
      <c r="A370" s="28"/>
      <c r="B370" s="28"/>
      <c r="C370" s="28"/>
      <c r="D370" s="26">
        <v>369.0</v>
      </c>
      <c r="E370" s="8"/>
      <c r="F370" s="9">
        <f t="shared" si="38"/>
        <v>0.3548387097</v>
      </c>
      <c r="G370" s="22">
        <f t="shared" si="39"/>
        <v>7354.194589</v>
      </c>
      <c r="H370" s="8"/>
      <c r="I370" s="8"/>
      <c r="J370" s="8"/>
      <c r="K370" s="8"/>
      <c r="L370" s="29"/>
      <c r="M370" s="27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>
      <c r="A371" s="28"/>
      <c r="B371" s="28"/>
      <c r="C371" s="28"/>
      <c r="D371" s="26">
        <v>370.0</v>
      </c>
      <c r="E371" s="8"/>
      <c r="F371" s="9">
        <f t="shared" si="38"/>
        <v>0.3225806452</v>
      </c>
      <c r="G371" s="22">
        <f t="shared" si="39"/>
        <v>7359.563996</v>
      </c>
      <c r="H371" s="8"/>
      <c r="I371" s="8"/>
      <c r="J371" s="8"/>
      <c r="K371" s="8"/>
      <c r="L371" s="29"/>
      <c r="M371" s="27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>
      <c r="A372" s="28"/>
      <c r="B372" s="28"/>
      <c r="C372" s="28"/>
      <c r="D372" s="26">
        <v>371.0</v>
      </c>
      <c r="E372" s="8"/>
      <c r="F372" s="9">
        <f t="shared" si="38"/>
        <v>0.2903225806</v>
      </c>
      <c r="G372" s="22">
        <f t="shared" si="39"/>
        <v>7364.933403</v>
      </c>
      <c r="H372" s="8"/>
      <c r="I372" s="8"/>
      <c r="J372" s="8"/>
      <c r="K372" s="8"/>
      <c r="L372" s="29"/>
      <c r="M372" s="27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>
      <c r="A373" s="28"/>
      <c r="B373" s="28"/>
      <c r="C373" s="28"/>
      <c r="D373" s="26">
        <v>372.0</v>
      </c>
      <c r="E373" s="8"/>
      <c r="F373" s="9">
        <f t="shared" si="38"/>
        <v>0.2580645161</v>
      </c>
      <c r="G373" s="22">
        <f t="shared" si="39"/>
        <v>7370.30281</v>
      </c>
      <c r="H373" s="8"/>
      <c r="I373" s="8"/>
      <c r="J373" s="8"/>
      <c r="K373" s="8"/>
      <c r="L373" s="29"/>
      <c r="M373" s="27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>
      <c r="A374" s="28"/>
      <c r="B374" s="28"/>
      <c r="C374" s="28"/>
      <c r="D374" s="26">
        <v>373.0</v>
      </c>
      <c r="E374" s="8"/>
      <c r="F374" s="9">
        <f t="shared" si="38"/>
        <v>0.2258064516</v>
      </c>
      <c r="G374" s="22">
        <f t="shared" si="39"/>
        <v>7375.672216</v>
      </c>
      <c r="H374" s="8"/>
      <c r="I374" s="8"/>
      <c r="J374" s="8"/>
      <c r="K374" s="8"/>
      <c r="L374" s="29"/>
      <c r="M374" s="27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>
      <c r="A375" s="28"/>
      <c r="B375" s="28"/>
      <c r="C375" s="28"/>
      <c r="D375" s="26">
        <v>374.0</v>
      </c>
      <c r="E375" s="8"/>
      <c r="F375" s="9">
        <f t="shared" si="38"/>
        <v>0.1935483871</v>
      </c>
      <c r="G375" s="22">
        <f t="shared" si="39"/>
        <v>7381.041623</v>
      </c>
      <c r="H375" s="8"/>
      <c r="I375" s="8"/>
      <c r="J375" s="8"/>
      <c r="K375" s="8"/>
      <c r="L375" s="29"/>
      <c r="M375" s="27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>
      <c r="A376" s="28"/>
      <c r="B376" s="28"/>
      <c r="C376" s="28"/>
      <c r="D376" s="26">
        <v>375.0</v>
      </c>
      <c r="E376" s="8"/>
      <c r="F376" s="9">
        <f t="shared" si="38"/>
        <v>0.1612903226</v>
      </c>
      <c r="G376" s="22">
        <f t="shared" si="39"/>
        <v>7386.41103</v>
      </c>
      <c r="H376" s="8"/>
      <c r="I376" s="8"/>
      <c r="J376" s="8"/>
      <c r="K376" s="8"/>
      <c r="L376" s="29"/>
      <c r="M376" s="27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>
      <c r="A377" s="28"/>
      <c r="B377" s="28"/>
      <c r="C377" s="28"/>
      <c r="D377" s="26">
        <v>376.0</v>
      </c>
      <c r="E377" s="8"/>
      <c r="F377" s="9">
        <f t="shared" si="38"/>
        <v>0.1290322581</v>
      </c>
      <c r="G377" s="22">
        <f t="shared" si="39"/>
        <v>7391.780437</v>
      </c>
      <c r="H377" s="8"/>
      <c r="I377" s="8"/>
      <c r="J377" s="8"/>
      <c r="K377" s="8"/>
      <c r="L377" s="29"/>
      <c r="M377" s="27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>
      <c r="A378" s="28"/>
      <c r="B378" s="28"/>
      <c r="C378" s="28"/>
      <c r="D378" s="26">
        <v>377.0</v>
      </c>
      <c r="E378" s="8"/>
      <c r="F378" s="9">
        <f t="shared" si="38"/>
        <v>0.09677419355</v>
      </c>
      <c r="G378" s="22">
        <f t="shared" si="39"/>
        <v>7397.149844</v>
      </c>
      <c r="H378" s="8"/>
      <c r="I378" s="8"/>
      <c r="J378" s="8"/>
      <c r="K378" s="8"/>
      <c r="L378" s="29"/>
      <c r="M378" s="27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>
      <c r="A379" s="28"/>
      <c r="B379" s="28"/>
      <c r="C379" s="28"/>
      <c r="D379" s="26">
        <v>378.0</v>
      </c>
      <c r="E379" s="8"/>
      <c r="F379" s="9">
        <f t="shared" si="38"/>
        <v>0.06451612903</v>
      </c>
      <c r="G379" s="22">
        <f t="shared" si="39"/>
        <v>7402.519251</v>
      </c>
      <c r="H379" s="8"/>
      <c r="I379" s="8"/>
      <c r="J379" s="8"/>
      <c r="K379" s="8"/>
      <c r="L379" s="29"/>
      <c r="M379" s="27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>
      <c r="A380" s="28"/>
      <c r="B380" s="28"/>
      <c r="C380" s="28"/>
      <c r="D380" s="26">
        <v>379.0</v>
      </c>
      <c r="E380" s="8"/>
      <c r="F380" s="9">
        <f t="shared" si="38"/>
        <v>0.03225806452</v>
      </c>
      <c r="G380" s="22">
        <f t="shared" si="39"/>
        <v>7407.888658</v>
      </c>
      <c r="H380" s="8"/>
      <c r="I380" s="8"/>
      <c r="J380" s="8"/>
      <c r="K380" s="8"/>
      <c r="L380" s="29"/>
      <c r="M380" s="27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>
      <c r="A381" s="28"/>
      <c r="B381" s="28"/>
      <c r="C381" s="28"/>
      <c r="D381" s="26">
        <v>380.0</v>
      </c>
      <c r="E381" s="8"/>
      <c r="F381" s="9">
        <f t="shared" si="38"/>
        <v>0</v>
      </c>
      <c r="G381" s="22">
        <f t="shared" si="39"/>
        <v>7413.258065</v>
      </c>
      <c r="H381" s="8"/>
      <c r="I381" s="8"/>
      <c r="J381" s="8"/>
      <c r="K381" s="8"/>
      <c r="L381" s="29"/>
      <c r="M381" s="27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7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7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>
      <c r="A384" s="29"/>
      <c r="B384" s="29"/>
      <c r="C384" s="29"/>
      <c r="D384" s="31" t="s">
        <v>77</v>
      </c>
      <c r="E384" s="29"/>
      <c r="F384" s="29"/>
      <c r="G384" s="29"/>
      <c r="H384" s="29"/>
      <c r="I384" s="29"/>
      <c r="J384" s="29"/>
      <c r="K384" s="29"/>
      <c r="L384" s="29"/>
      <c r="M384" s="27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7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7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7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7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7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7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7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7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7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7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7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7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7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7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7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7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7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7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7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7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7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7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7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7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7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7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7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7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7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7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7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7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7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7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7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7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7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7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7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7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7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7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7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7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7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7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7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7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7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7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7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7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7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7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7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7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7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7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7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7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7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7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7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7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7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7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7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7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7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7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7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7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7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7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7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7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7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7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7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7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7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7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7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7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7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7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7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7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7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7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7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7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7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7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7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7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7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7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7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7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7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7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7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7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7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7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7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7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7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7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7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7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7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7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7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7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7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7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7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7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7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7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7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7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7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7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7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7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7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7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7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7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7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7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7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7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7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7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7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7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7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7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7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7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7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7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7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7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7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7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7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7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7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7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7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7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7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7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7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7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7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7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7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7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7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7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7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7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7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7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7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7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7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7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7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7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7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7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7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7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7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7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7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7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7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7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7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7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7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7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7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7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7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7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7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7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7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7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7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7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7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7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7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7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7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7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7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7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7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7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7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7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7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7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7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7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7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7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7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7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7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7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7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7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7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7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7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7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7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7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7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7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7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7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7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7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7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7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7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7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7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7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7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7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7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7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7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7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7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7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7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7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7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7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7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7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7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7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7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7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7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7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7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7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7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7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7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7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7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7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7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7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7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7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7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7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7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7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7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7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7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7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7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7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7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7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7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7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7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7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7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7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7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7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7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7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7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7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7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7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7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7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7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7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7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7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7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7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7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7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7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7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7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7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7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7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7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7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7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7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7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7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7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7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7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7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7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7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7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7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7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7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7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7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7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7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7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7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7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7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7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7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7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7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7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7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7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7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7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7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7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7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7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7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7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7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7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7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7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7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7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7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7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7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7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7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7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7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7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7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7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7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7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7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7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7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7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7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7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7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7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7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7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7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7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7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7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7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7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7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7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7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7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7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7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7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7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7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7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7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7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7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7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7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7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7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7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7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7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7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7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7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7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7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7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7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7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7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7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7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7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7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7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7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7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7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7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7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7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7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7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7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7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7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7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7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7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7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7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7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7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7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7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7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7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7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7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7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7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7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7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7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7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7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7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7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7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7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7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7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7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7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7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7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7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7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7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7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7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7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7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7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7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7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7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7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7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7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7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7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7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7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7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7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7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7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7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7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7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7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7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7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7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7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7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7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7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7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7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7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7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7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7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7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7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7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7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7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7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7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7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7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7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7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7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7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7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7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7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7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7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7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7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7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7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7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7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7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7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7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7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7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7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7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7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7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7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7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7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7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7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7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7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7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7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7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7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7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7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7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7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7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7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7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7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7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7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7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7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7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7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7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7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7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7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7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7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7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7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7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7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7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7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7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7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7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7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7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7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7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7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7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7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7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7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7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7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7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7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7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7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7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7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7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7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7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7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7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7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7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7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7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7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7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7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7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7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7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7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7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7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7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7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7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7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7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24.0"/>
    <col customWidth="1" min="6" max="6" width="19.71"/>
    <col customWidth="1" min="7" max="7" width="22.14"/>
    <col customWidth="1" min="9" max="9" width="6.57"/>
    <col customWidth="1" min="10" max="11" width="17.43"/>
    <col customWidth="1" min="12" max="12" width="19.29"/>
    <col customWidth="1" min="13" max="13" width="28.14"/>
    <col customWidth="1" min="14" max="15" width="30.0"/>
    <col customWidth="1" min="16" max="16" width="31.29"/>
    <col customWidth="1" min="17" max="17" width="30.0"/>
    <col customWidth="1" min="19" max="20" width="31.14"/>
    <col customWidth="1" min="21" max="21" width="32.43"/>
    <col customWidth="1" min="22" max="22" width="31.29"/>
    <col customWidth="1" min="23" max="24" width="50.0"/>
    <col customWidth="1" min="25" max="25" width="51.43"/>
    <col customWidth="1" min="26" max="26" width="42.14"/>
  </cols>
  <sheetData>
    <row r="1">
      <c r="A1" s="13" t="s">
        <v>41</v>
      </c>
      <c r="B1" s="13" t="s">
        <v>42</v>
      </c>
      <c r="C1" s="13" t="s">
        <v>43</v>
      </c>
      <c r="D1" s="13" t="s">
        <v>44</v>
      </c>
      <c r="E1" s="32" t="s">
        <v>45</v>
      </c>
      <c r="F1" s="32" t="s">
        <v>46</v>
      </c>
      <c r="G1" s="33" t="s">
        <v>47</v>
      </c>
      <c r="H1" s="32"/>
      <c r="I1" s="32" t="s">
        <v>48</v>
      </c>
      <c r="J1" s="32" t="s">
        <v>49</v>
      </c>
      <c r="K1" s="32" t="s">
        <v>49</v>
      </c>
      <c r="L1" s="8" t="s">
        <v>50</v>
      </c>
      <c r="M1" s="15" t="s">
        <v>78</v>
      </c>
      <c r="N1" s="16" t="s">
        <v>52</v>
      </c>
      <c r="O1" s="16" t="s">
        <v>53</v>
      </c>
      <c r="P1" s="17" t="s">
        <v>54</v>
      </c>
      <c r="Q1" s="17" t="s">
        <v>55</v>
      </c>
      <c r="R1" s="18"/>
      <c r="S1" s="16" t="s">
        <v>56</v>
      </c>
      <c r="T1" s="16" t="s">
        <v>57</v>
      </c>
      <c r="U1" s="17" t="s">
        <v>58</v>
      </c>
      <c r="V1" s="17" t="s">
        <v>59</v>
      </c>
      <c r="W1" s="16" t="s">
        <v>60</v>
      </c>
      <c r="X1" s="16" t="s">
        <v>61</v>
      </c>
      <c r="Y1" s="17" t="s">
        <v>62</v>
      </c>
      <c r="Z1" s="17" t="s">
        <v>63</v>
      </c>
    </row>
    <row r="2">
      <c r="A2" s="13" t="s">
        <v>64</v>
      </c>
      <c r="B2" s="19">
        <v>40909.0</v>
      </c>
      <c r="C2" s="20">
        <v>1.0</v>
      </c>
      <c r="D2" s="21">
        <v>1.0</v>
      </c>
      <c r="E2" s="34">
        <f>A3/31</f>
        <v>6590.032258</v>
      </c>
      <c r="F2" s="34">
        <v>0.45161290322580644</v>
      </c>
      <c r="G2" s="35">
        <v>6706.446409989594</v>
      </c>
      <c r="H2" s="32"/>
      <c r="I2" s="34">
        <f t="shared" ref="I2:I365" si="1">C2</f>
        <v>1</v>
      </c>
      <c r="J2" s="35">
        <f>SUM(G2:G8)</f>
        <v>46770.50364</v>
      </c>
      <c r="K2" s="24">
        <v>46770.50364</v>
      </c>
      <c r="L2" s="9">
        <f>(RealMonthlyData_2012!E1/366)*7</f>
        <v>43539.86612</v>
      </c>
      <c r="M2" s="24">
        <v>43539.86612</v>
      </c>
      <c r="N2" s="25">
        <v>12596.7121</v>
      </c>
      <c r="O2" s="25">
        <v>11160.45247</v>
      </c>
      <c r="P2" s="25">
        <v>2735.827793</v>
      </c>
      <c r="Q2" s="25">
        <v>20459.95873</v>
      </c>
      <c r="R2" s="18"/>
      <c r="S2" s="25">
        <v>11834.52321</v>
      </c>
      <c r="T2" s="25">
        <v>10554.94164</v>
      </c>
      <c r="U2" s="25">
        <v>2739.747562</v>
      </c>
      <c r="V2" s="25">
        <v>19381.41624</v>
      </c>
      <c r="W2" s="25">
        <v>762.1888899</v>
      </c>
      <c r="X2" s="25">
        <v>605.5108277</v>
      </c>
      <c r="Y2" s="25">
        <v>-3.919768323</v>
      </c>
      <c r="Z2" s="25">
        <v>1078.542489</v>
      </c>
    </row>
    <row r="3">
      <c r="A3" s="20">
        <v>204291.0</v>
      </c>
      <c r="B3" s="19">
        <v>40910.0</v>
      </c>
      <c r="C3" s="20">
        <v>1.0</v>
      </c>
      <c r="D3" s="26">
        <v>2.0</v>
      </c>
      <c r="E3" s="34">
        <f t="shared" ref="E3:E32" si="2">E2</f>
        <v>6590.032258</v>
      </c>
      <c r="F3" s="34">
        <v>0.41935483870967744</v>
      </c>
      <c r="G3" s="35">
        <v>6698.131113423517</v>
      </c>
      <c r="H3" s="32"/>
      <c r="I3" s="34">
        <f t="shared" si="1"/>
        <v>1</v>
      </c>
      <c r="J3" s="32"/>
      <c r="K3" s="27"/>
      <c r="L3" s="9">
        <f t="shared" ref="L3:L365" si="3">L2</f>
        <v>43539.86612</v>
      </c>
      <c r="M3" s="27"/>
      <c r="N3" s="18"/>
      <c r="O3" s="18"/>
      <c r="P3" s="18"/>
      <c r="Q3" s="18"/>
      <c r="R3" s="18"/>
      <c r="S3" s="18"/>
      <c r="T3" s="18"/>
      <c r="U3" s="18"/>
      <c r="V3" s="18"/>
      <c r="W3" s="25"/>
      <c r="X3" s="25"/>
      <c r="Y3" s="25"/>
      <c r="Z3" s="25"/>
    </row>
    <row r="4">
      <c r="A4" s="28"/>
      <c r="B4" s="19">
        <v>40911.0</v>
      </c>
      <c r="C4" s="20">
        <v>1.0</v>
      </c>
      <c r="D4" s="26">
        <v>3.0</v>
      </c>
      <c r="E4" s="34">
        <f t="shared" si="2"/>
        <v>6590.032258</v>
      </c>
      <c r="F4" s="34">
        <v>0.3870967741935484</v>
      </c>
      <c r="G4" s="35">
        <v>6689.81581685744</v>
      </c>
      <c r="H4" s="32"/>
      <c r="I4" s="34">
        <f t="shared" si="1"/>
        <v>1</v>
      </c>
      <c r="J4" s="32"/>
      <c r="K4" s="27"/>
      <c r="L4" s="9">
        <f t="shared" si="3"/>
        <v>43539.86612</v>
      </c>
      <c r="M4" s="27"/>
      <c r="N4" s="18"/>
      <c r="O4" s="18"/>
      <c r="P4" s="18"/>
      <c r="Q4" s="18"/>
      <c r="R4" s="18"/>
      <c r="S4" s="18"/>
      <c r="T4" s="18"/>
      <c r="U4" s="18"/>
      <c r="V4" s="18"/>
      <c r="W4" s="25"/>
      <c r="X4" s="25"/>
      <c r="Y4" s="25"/>
      <c r="Z4" s="25"/>
    </row>
    <row r="5">
      <c r="A5" s="28"/>
      <c r="B5" s="19">
        <v>40912.0</v>
      </c>
      <c r="C5" s="20">
        <v>1.0</v>
      </c>
      <c r="D5" s="26">
        <v>4.0</v>
      </c>
      <c r="E5" s="34">
        <f t="shared" si="2"/>
        <v>6590.032258</v>
      </c>
      <c r="F5" s="34">
        <v>0.3548387096774194</v>
      </c>
      <c r="G5" s="35">
        <v>6681.5005202913635</v>
      </c>
      <c r="H5" s="32"/>
      <c r="I5" s="34">
        <f t="shared" si="1"/>
        <v>1</v>
      </c>
      <c r="J5" s="32"/>
      <c r="K5" s="27"/>
      <c r="L5" s="9">
        <f t="shared" si="3"/>
        <v>43539.86612</v>
      </c>
      <c r="M5" s="27"/>
      <c r="N5" s="18"/>
      <c r="O5" s="18"/>
      <c r="P5" s="18"/>
      <c r="Q5" s="18"/>
      <c r="R5" s="18"/>
      <c r="S5" s="18"/>
      <c r="T5" s="18"/>
      <c r="U5" s="18"/>
      <c r="V5" s="18"/>
      <c r="W5" s="25"/>
      <c r="X5" s="25"/>
      <c r="Y5" s="25"/>
      <c r="Z5" s="25"/>
    </row>
    <row r="6">
      <c r="A6" s="28"/>
      <c r="B6" s="19">
        <v>40913.0</v>
      </c>
      <c r="C6" s="20">
        <v>1.0</v>
      </c>
      <c r="D6" s="26">
        <v>5.0</v>
      </c>
      <c r="E6" s="34">
        <f t="shared" si="2"/>
        <v>6590.032258</v>
      </c>
      <c r="F6" s="34">
        <v>0.3225806451612903</v>
      </c>
      <c r="G6" s="35">
        <v>6673.185223725286</v>
      </c>
      <c r="H6" s="32"/>
      <c r="I6" s="34">
        <f t="shared" si="1"/>
        <v>1</v>
      </c>
      <c r="J6" s="32"/>
      <c r="K6" s="27"/>
      <c r="L6" s="9">
        <f t="shared" si="3"/>
        <v>43539.86612</v>
      </c>
      <c r="M6" s="27"/>
      <c r="N6" s="18"/>
      <c r="O6" s="18"/>
      <c r="P6" s="18"/>
      <c r="Q6" s="18"/>
      <c r="R6" s="18"/>
      <c r="S6" s="18"/>
      <c r="T6" s="18"/>
      <c r="U6" s="18"/>
      <c r="V6" s="18"/>
      <c r="W6" s="25"/>
      <c r="X6" s="25"/>
      <c r="Y6" s="25"/>
      <c r="Z6" s="25"/>
    </row>
    <row r="7">
      <c r="A7" s="28"/>
      <c r="B7" s="19">
        <v>40914.0</v>
      </c>
      <c r="C7" s="20">
        <v>1.0</v>
      </c>
      <c r="D7" s="26">
        <v>6.0</v>
      </c>
      <c r="E7" s="34">
        <f t="shared" si="2"/>
        <v>6590.032258</v>
      </c>
      <c r="F7" s="34">
        <v>0.2903225806451613</v>
      </c>
      <c r="G7" s="35">
        <v>6664.8699271592095</v>
      </c>
      <c r="H7" s="32"/>
      <c r="I7" s="34">
        <f t="shared" si="1"/>
        <v>1</v>
      </c>
      <c r="J7" s="32"/>
      <c r="K7" s="27"/>
      <c r="L7" s="9">
        <f t="shared" si="3"/>
        <v>43539.86612</v>
      </c>
      <c r="M7" s="27"/>
      <c r="N7" s="18"/>
      <c r="O7" s="18"/>
      <c r="P7" s="18"/>
      <c r="Q7" s="18"/>
      <c r="R7" s="18"/>
      <c r="S7" s="18"/>
      <c r="T7" s="18"/>
      <c r="U7" s="18"/>
      <c r="V7" s="18"/>
      <c r="W7" s="25"/>
      <c r="X7" s="25"/>
      <c r="Y7" s="25"/>
      <c r="Z7" s="25"/>
    </row>
    <row r="8">
      <c r="A8" s="28"/>
      <c r="B8" s="19">
        <v>40915.0</v>
      </c>
      <c r="C8" s="20">
        <v>1.0</v>
      </c>
      <c r="D8" s="26">
        <v>7.0</v>
      </c>
      <c r="E8" s="34">
        <f t="shared" si="2"/>
        <v>6590.032258</v>
      </c>
      <c r="F8" s="34">
        <v>0.25806451612903225</v>
      </c>
      <c r="G8" s="35">
        <v>6656.554630593132</v>
      </c>
      <c r="H8" s="32"/>
      <c r="I8" s="34">
        <f t="shared" si="1"/>
        <v>1</v>
      </c>
      <c r="J8" s="32"/>
      <c r="K8" s="27"/>
      <c r="L8" s="9">
        <f t="shared" si="3"/>
        <v>43539.86612</v>
      </c>
      <c r="M8" s="27"/>
      <c r="N8" s="18"/>
      <c r="O8" s="18"/>
      <c r="P8" s="18"/>
      <c r="Q8" s="18"/>
      <c r="R8" s="18"/>
      <c r="S8" s="18"/>
      <c r="T8" s="18"/>
      <c r="U8" s="18"/>
      <c r="V8" s="18"/>
      <c r="W8" s="25"/>
      <c r="X8" s="25"/>
      <c r="Y8" s="25"/>
      <c r="Z8" s="25"/>
    </row>
    <row r="9">
      <c r="A9" s="28"/>
      <c r="B9" s="19">
        <v>40916.0</v>
      </c>
      <c r="C9" s="20">
        <v>2.0</v>
      </c>
      <c r="D9" s="26">
        <v>8.0</v>
      </c>
      <c r="E9" s="34">
        <f t="shared" si="2"/>
        <v>6590.032258</v>
      </c>
      <c r="F9" s="34">
        <v>0.22580645161290322</v>
      </c>
      <c r="G9" s="35">
        <v>6648.2393340270555</v>
      </c>
      <c r="H9" s="32"/>
      <c r="I9" s="34">
        <f t="shared" si="1"/>
        <v>2</v>
      </c>
      <c r="J9" s="35">
        <f>SUM(G9:G15)</f>
        <v>46363.05411</v>
      </c>
      <c r="K9" s="24">
        <v>46363.05411</v>
      </c>
      <c r="L9" s="9">
        <f t="shared" si="3"/>
        <v>43539.86612</v>
      </c>
      <c r="M9" s="24">
        <v>43539.86612</v>
      </c>
      <c r="N9" s="25">
        <v>11878.43669</v>
      </c>
      <c r="O9" s="25">
        <v>10979.00673</v>
      </c>
      <c r="P9" s="25">
        <v>2728.571508</v>
      </c>
      <c r="Q9" s="25">
        <v>20658.13147</v>
      </c>
      <c r="R9" s="18"/>
      <c r="S9" s="25">
        <v>11167.07046</v>
      </c>
      <c r="T9" s="25">
        <v>10293.10705</v>
      </c>
      <c r="U9" s="25">
        <v>2700.26492</v>
      </c>
      <c r="V9" s="25">
        <v>19083.46037</v>
      </c>
      <c r="W9" s="25">
        <v>711.3662285</v>
      </c>
      <c r="X9" s="25">
        <v>685.8996807</v>
      </c>
      <c r="Y9" s="25">
        <v>28.30658781</v>
      </c>
      <c r="Z9" s="25">
        <v>1574.671099</v>
      </c>
    </row>
    <row r="10">
      <c r="A10" s="28"/>
      <c r="B10" s="19">
        <v>40917.0</v>
      </c>
      <c r="C10" s="20">
        <v>2.0</v>
      </c>
      <c r="D10" s="26">
        <v>9.0</v>
      </c>
      <c r="E10" s="34">
        <f t="shared" si="2"/>
        <v>6590.032258</v>
      </c>
      <c r="F10" s="34">
        <v>0.1935483870967742</v>
      </c>
      <c r="G10" s="35">
        <v>6639.924037460978</v>
      </c>
      <c r="H10" s="32"/>
      <c r="I10" s="34">
        <f t="shared" si="1"/>
        <v>2</v>
      </c>
      <c r="J10" s="32"/>
      <c r="K10" s="27"/>
      <c r="L10" s="9">
        <f t="shared" si="3"/>
        <v>43539.86612</v>
      </c>
      <c r="M10" s="27"/>
      <c r="N10" s="18"/>
      <c r="O10" s="18"/>
      <c r="P10" s="18"/>
      <c r="Q10" s="18"/>
      <c r="R10" s="18"/>
      <c r="S10" s="18"/>
      <c r="T10" s="18"/>
      <c r="U10" s="18"/>
      <c r="V10" s="18"/>
      <c r="W10" s="25"/>
      <c r="X10" s="25"/>
      <c r="Y10" s="25"/>
      <c r="Z10" s="25"/>
    </row>
    <row r="11">
      <c r="A11" s="28"/>
      <c r="B11" s="19">
        <v>40918.0</v>
      </c>
      <c r="C11" s="20">
        <v>2.0</v>
      </c>
      <c r="D11" s="26">
        <v>10.0</v>
      </c>
      <c r="E11" s="34">
        <f t="shared" si="2"/>
        <v>6590.032258</v>
      </c>
      <c r="F11" s="34">
        <v>0.16129032258064516</v>
      </c>
      <c r="G11" s="35">
        <v>6631.6087408949015</v>
      </c>
      <c r="H11" s="32"/>
      <c r="I11" s="34">
        <f t="shared" si="1"/>
        <v>2</v>
      </c>
      <c r="J11" s="32"/>
      <c r="K11" s="27"/>
      <c r="L11" s="9">
        <f t="shared" si="3"/>
        <v>43539.86612</v>
      </c>
      <c r="M11" s="27"/>
      <c r="N11" s="18"/>
      <c r="O11" s="18"/>
      <c r="P11" s="18"/>
      <c r="Q11" s="18"/>
      <c r="R11" s="18"/>
      <c r="S11" s="18"/>
      <c r="T11" s="18"/>
      <c r="U11" s="18"/>
      <c r="V11" s="18"/>
      <c r="W11" s="25"/>
      <c r="X11" s="25"/>
      <c r="Y11" s="25"/>
      <c r="Z11" s="25"/>
    </row>
    <row r="12">
      <c r="A12" s="28"/>
      <c r="B12" s="19">
        <v>40919.0</v>
      </c>
      <c r="C12" s="20">
        <v>2.0</v>
      </c>
      <c r="D12" s="26">
        <v>11.0</v>
      </c>
      <c r="E12" s="34">
        <f t="shared" si="2"/>
        <v>6590.032258</v>
      </c>
      <c r="F12" s="34">
        <v>0.12903225806451613</v>
      </c>
      <c r="G12" s="35">
        <v>6623.293444328824</v>
      </c>
      <c r="H12" s="32"/>
      <c r="I12" s="34">
        <f t="shared" si="1"/>
        <v>2</v>
      </c>
      <c r="J12" s="32"/>
      <c r="K12" s="27"/>
      <c r="L12" s="9">
        <f t="shared" si="3"/>
        <v>43539.86612</v>
      </c>
      <c r="M12" s="27"/>
      <c r="N12" s="18"/>
      <c r="O12" s="18"/>
      <c r="P12" s="18"/>
      <c r="Q12" s="18"/>
      <c r="R12" s="18"/>
      <c r="S12" s="18"/>
      <c r="T12" s="18"/>
      <c r="U12" s="18"/>
      <c r="V12" s="18"/>
      <c r="W12" s="25"/>
      <c r="X12" s="25"/>
      <c r="Y12" s="25"/>
      <c r="Z12" s="25"/>
    </row>
    <row r="13">
      <c r="A13" s="28"/>
      <c r="B13" s="19">
        <v>40920.0</v>
      </c>
      <c r="C13" s="20">
        <v>2.0</v>
      </c>
      <c r="D13" s="26">
        <v>12.0</v>
      </c>
      <c r="E13" s="34">
        <f t="shared" si="2"/>
        <v>6590.032258</v>
      </c>
      <c r="F13" s="34">
        <v>0.0967741935483871</v>
      </c>
      <c r="G13" s="35">
        <v>6614.978147762747</v>
      </c>
      <c r="H13" s="32"/>
      <c r="I13" s="34">
        <f t="shared" si="1"/>
        <v>2</v>
      </c>
      <c r="J13" s="32"/>
      <c r="K13" s="27"/>
      <c r="L13" s="9">
        <f t="shared" si="3"/>
        <v>43539.86612</v>
      </c>
      <c r="M13" s="27"/>
      <c r="N13" s="18"/>
      <c r="O13" s="18"/>
      <c r="P13" s="18"/>
      <c r="Q13" s="18"/>
      <c r="R13" s="18"/>
      <c r="S13" s="18"/>
      <c r="T13" s="18"/>
      <c r="U13" s="18"/>
      <c r="V13" s="18"/>
      <c r="W13" s="25"/>
      <c r="X13" s="25"/>
      <c r="Y13" s="25"/>
      <c r="Z13" s="25"/>
    </row>
    <row r="14">
      <c r="A14" s="28"/>
      <c r="B14" s="19">
        <v>40921.0</v>
      </c>
      <c r="C14" s="20">
        <v>2.0</v>
      </c>
      <c r="D14" s="26">
        <v>13.0</v>
      </c>
      <c r="E14" s="34">
        <f t="shared" si="2"/>
        <v>6590.032258</v>
      </c>
      <c r="F14" s="34">
        <v>0.06451612903225806</v>
      </c>
      <c r="G14" s="35">
        <v>6606.662851196671</v>
      </c>
      <c r="H14" s="32"/>
      <c r="I14" s="34">
        <f t="shared" si="1"/>
        <v>2</v>
      </c>
      <c r="J14" s="32"/>
      <c r="K14" s="27"/>
      <c r="L14" s="9">
        <f t="shared" si="3"/>
        <v>43539.86612</v>
      </c>
      <c r="M14" s="27"/>
      <c r="N14" s="18"/>
      <c r="O14" s="18"/>
      <c r="P14" s="18"/>
      <c r="Q14" s="18"/>
      <c r="R14" s="18"/>
      <c r="S14" s="18"/>
      <c r="T14" s="18"/>
      <c r="U14" s="18"/>
      <c r="V14" s="18"/>
      <c r="W14" s="25"/>
      <c r="X14" s="25"/>
      <c r="Y14" s="25"/>
      <c r="Z14" s="25"/>
    </row>
    <row r="15">
      <c r="A15" s="28"/>
      <c r="B15" s="19">
        <v>40922.0</v>
      </c>
      <c r="C15" s="20">
        <v>2.0</v>
      </c>
      <c r="D15" s="26">
        <v>14.0</v>
      </c>
      <c r="E15" s="34">
        <f t="shared" si="2"/>
        <v>6590.032258</v>
      </c>
      <c r="F15" s="34">
        <v>0.03225806451612903</v>
      </c>
      <c r="G15" s="35">
        <v>6598.347554630593</v>
      </c>
      <c r="H15" s="32"/>
      <c r="I15" s="34">
        <f t="shared" si="1"/>
        <v>2</v>
      </c>
      <c r="J15" s="32"/>
      <c r="K15" s="27"/>
      <c r="L15" s="9">
        <f t="shared" si="3"/>
        <v>43539.86612</v>
      </c>
      <c r="M15" s="27"/>
      <c r="N15" s="18"/>
      <c r="O15" s="18"/>
      <c r="P15" s="18"/>
      <c r="Q15" s="18"/>
      <c r="R15" s="18"/>
      <c r="S15" s="18"/>
      <c r="T15" s="18"/>
      <c r="U15" s="18"/>
      <c r="V15" s="18"/>
      <c r="W15" s="25"/>
      <c r="X15" s="25"/>
      <c r="Y15" s="25"/>
      <c r="Z15" s="25"/>
    </row>
    <row r="16">
      <c r="A16" s="13"/>
      <c r="B16" s="19">
        <v>40923.0</v>
      </c>
      <c r="C16" s="20">
        <v>3.0</v>
      </c>
      <c r="D16" s="26">
        <v>15.0</v>
      </c>
      <c r="E16" s="34">
        <f t="shared" si="2"/>
        <v>6590.032258</v>
      </c>
      <c r="F16" s="34">
        <v>1.0</v>
      </c>
      <c r="G16" s="35">
        <f>E16*F16+(1-F16)*E33</f>
        <v>6590.032258</v>
      </c>
      <c r="H16" s="32"/>
      <c r="I16" s="34">
        <f t="shared" si="1"/>
        <v>3</v>
      </c>
      <c r="J16" s="35">
        <f>SUM(G16:G22)</f>
        <v>46605.42531</v>
      </c>
      <c r="K16" s="24">
        <v>46605.42531</v>
      </c>
      <c r="L16" s="9">
        <f t="shared" si="3"/>
        <v>43539.86612</v>
      </c>
      <c r="M16" s="24">
        <v>43539.86612</v>
      </c>
      <c r="N16" s="25">
        <v>12222.72164</v>
      </c>
      <c r="O16" s="25">
        <v>11497.92113</v>
      </c>
      <c r="P16" s="25">
        <v>2698.286649</v>
      </c>
      <c r="Q16" s="25">
        <v>19631.66952</v>
      </c>
      <c r="R16" s="18"/>
      <c r="S16" s="25">
        <v>11134.87024</v>
      </c>
      <c r="T16" s="25">
        <v>10513.29234</v>
      </c>
      <c r="U16" s="25">
        <v>2683.835523</v>
      </c>
      <c r="V16" s="25">
        <v>19259.15518</v>
      </c>
      <c r="W16" s="25">
        <v>1087.851399</v>
      </c>
      <c r="X16" s="25">
        <v>984.6287928</v>
      </c>
      <c r="Y16" s="25">
        <v>14.45112592</v>
      </c>
      <c r="Z16" s="25">
        <v>372.5143407</v>
      </c>
    </row>
    <row r="17">
      <c r="A17" s="13"/>
      <c r="B17" s="19">
        <v>40924.0</v>
      </c>
      <c r="C17" s="20">
        <v>3.0</v>
      </c>
      <c r="D17" s="26">
        <v>16.0</v>
      </c>
      <c r="E17" s="34">
        <f t="shared" si="2"/>
        <v>6590.032258</v>
      </c>
      <c r="F17" s="34">
        <f t="shared" ref="F17:F46" si="4">abs((D17-46)/(46-15))</f>
        <v>0.9677419355</v>
      </c>
      <c r="G17" s="35">
        <f t="shared" ref="G17:G45" si="5">E2*F17+(1-F17)*E33</f>
        <v>6612.660806</v>
      </c>
      <c r="H17" s="32"/>
      <c r="I17" s="34">
        <f t="shared" si="1"/>
        <v>3</v>
      </c>
      <c r="J17" s="32"/>
      <c r="K17" s="27"/>
      <c r="L17" s="9">
        <f t="shared" si="3"/>
        <v>43539.86612</v>
      </c>
      <c r="M17" s="27"/>
      <c r="N17" s="18"/>
      <c r="O17" s="18"/>
      <c r="P17" s="18"/>
      <c r="Q17" s="18"/>
      <c r="R17" s="18"/>
      <c r="S17" s="18"/>
      <c r="T17" s="18"/>
      <c r="U17" s="18"/>
      <c r="V17" s="18"/>
      <c r="W17" s="25"/>
      <c r="X17" s="25"/>
      <c r="Y17" s="25"/>
      <c r="Z17" s="25"/>
    </row>
    <row r="18">
      <c r="A18" s="28"/>
      <c r="B18" s="19">
        <v>40925.0</v>
      </c>
      <c r="C18" s="20">
        <v>3.0</v>
      </c>
      <c r="D18" s="26">
        <v>17.0</v>
      </c>
      <c r="E18" s="34">
        <f t="shared" si="2"/>
        <v>6590.032258</v>
      </c>
      <c r="F18" s="34">
        <f t="shared" si="4"/>
        <v>0.935483871</v>
      </c>
      <c r="G18" s="35">
        <f t="shared" si="5"/>
        <v>6635.289354</v>
      </c>
      <c r="H18" s="32"/>
      <c r="I18" s="34">
        <f t="shared" si="1"/>
        <v>3</v>
      </c>
      <c r="J18" s="32"/>
      <c r="K18" s="27"/>
      <c r="L18" s="9">
        <f t="shared" si="3"/>
        <v>43539.86612</v>
      </c>
      <c r="M18" s="27"/>
      <c r="N18" s="18"/>
      <c r="O18" s="18"/>
      <c r="P18" s="18"/>
      <c r="Q18" s="18"/>
      <c r="R18" s="18"/>
      <c r="S18" s="18"/>
      <c r="T18" s="18"/>
      <c r="U18" s="18"/>
      <c r="V18" s="18"/>
      <c r="W18" s="25"/>
      <c r="X18" s="25"/>
      <c r="Y18" s="25"/>
      <c r="Z18" s="25"/>
    </row>
    <row r="19">
      <c r="A19" s="28"/>
      <c r="B19" s="19">
        <v>40926.0</v>
      </c>
      <c r="C19" s="20">
        <v>3.0</v>
      </c>
      <c r="D19" s="26">
        <v>18.0</v>
      </c>
      <c r="E19" s="34">
        <f t="shared" si="2"/>
        <v>6590.032258</v>
      </c>
      <c r="F19" s="34">
        <f t="shared" si="4"/>
        <v>0.9032258065</v>
      </c>
      <c r="G19" s="35">
        <f t="shared" si="5"/>
        <v>6657.917902</v>
      </c>
      <c r="H19" s="32"/>
      <c r="I19" s="34">
        <f t="shared" si="1"/>
        <v>3</v>
      </c>
      <c r="J19" s="32"/>
      <c r="K19" s="27"/>
      <c r="L19" s="9">
        <f t="shared" si="3"/>
        <v>43539.86612</v>
      </c>
      <c r="M19" s="27"/>
      <c r="N19" s="18"/>
      <c r="O19" s="18"/>
      <c r="P19" s="18"/>
      <c r="Q19" s="18"/>
      <c r="R19" s="18"/>
      <c r="S19" s="18"/>
      <c r="T19" s="18"/>
      <c r="U19" s="18"/>
      <c r="V19" s="18"/>
      <c r="W19" s="25"/>
      <c r="X19" s="25"/>
      <c r="Y19" s="25"/>
      <c r="Z19" s="25"/>
    </row>
    <row r="20">
      <c r="A20" s="28"/>
      <c r="B20" s="19">
        <v>40927.0</v>
      </c>
      <c r="C20" s="20">
        <v>3.0</v>
      </c>
      <c r="D20" s="26">
        <v>19.0</v>
      </c>
      <c r="E20" s="34">
        <f t="shared" si="2"/>
        <v>6590.032258</v>
      </c>
      <c r="F20" s="34">
        <f t="shared" si="4"/>
        <v>0.8709677419</v>
      </c>
      <c r="G20" s="35">
        <f t="shared" si="5"/>
        <v>6680.546449</v>
      </c>
      <c r="H20" s="32"/>
      <c r="I20" s="34">
        <f t="shared" si="1"/>
        <v>3</v>
      </c>
      <c r="J20" s="32"/>
      <c r="K20" s="27"/>
      <c r="L20" s="9">
        <f t="shared" si="3"/>
        <v>43539.86612</v>
      </c>
      <c r="M20" s="27"/>
      <c r="N20" s="18"/>
      <c r="O20" s="18"/>
      <c r="P20" s="18"/>
      <c r="Q20" s="18"/>
      <c r="R20" s="18"/>
      <c r="S20" s="18"/>
      <c r="T20" s="18"/>
      <c r="U20" s="18"/>
      <c r="V20" s="18"/>
      <c r="W20" s="25"/>
      <c r="X20" s="25"/>
      <c r="Y20" s="25"/>
      <c r="Z20" s="25"/>
    </row>
    <row r="21">
      <c r="A21" s="28"/>
      <c r="B21" s="19">
        <v>40928.0</v>
      </c>
      <c r="C21" s="20">
        <v>3.0</v>
      </c>
      <c r="D21" s="26">
        <v>20.0</v>
      </c>
      <c r="E21" s="34">
        <f t="shared" si="2"/>
        <v>6590.032258</v>
      </c>
      <c r="F21" s="34">
        <f t="shared" si="4"/>
        <v>0.8387096774</v>
      </c>
      <c r="G21" s="35">
        <f t="shared" si="5"/>
        <v>6703.174997</v>
      </c>
      <c r="H21" s="32"/>
      <c r="I21" s="34">
        <f t="shared" si="1"/>
        <v>3</v>
      </c>
      <c r="J21" s="32"/>
      <c r="K21" s="27"/>
      <c r="L21" s="9">
        <f t="shared" si="3"/>
        <v>43539.86612</v>
      </c>
      <c r="M21" s="27"/>
      <c r="N21" s="18"/>
      <c r="O21" s="18"/>
      <c r="P21" s="18"/>
      <c r="Q21" s="18"/>
      <c r="R21" s="18"/>
      <c r="S21" s="18"/>
      <c r="T21" s="18"/>
      <c r="U21" s="18"/>
      <c r="V21" s="18"/>
      <c r="W21" s="25"/>
      <c r="X21" s="25"/>
      <c r="Y21" s="25"/>
      <c r="Z21" s="25"/>
    </row>
    <row r="22">
      <c r="A22" s="28"/>
      <c r="B22" s="19">
        <v>40929.0</v>
      </c>
      <c r="C22" s="20">
        <v>3.0</v>
      </c>
      <c r="D22" s="26">
        <v>21.0</v>
      </c>
      <c r="E22" s="34">
        <f t="shared" si="2"/>
        <v>6590.032258</v>
      </c>
      <c r="F22" s="34">
        <f t="shared" si="4"/>
        <v>0.8064516129</v>
      </c>
      <c r="G22" s="35">
        <f t="shared" si="5"/>
        <v>6725.803545</v>
      </c>
      <c r="H22" s="32"/>
      <c r="I22" s="34">
        <f t="shared" si="1"/>
        <v>3</v>
      </c>
      <c r="J22" s="32"/>
      <c r="K22" s="27"/>
      <c r="L22" s="9">
        <f t="shared" si="3"/>
        <v>43539.86612</v>
      </c>
      <c r="M22" s="27"/>
      <c r="N22" s="18"/>
      <c r="O22" s="18"/>
      <c r="P22" s="18"/>
      <c r="Q22" s="18"/>
      <c r="R22" s="18"/>
      <c r="S22" s="18"/>
      <c r="T22" s="18"/>
      <c r="U22" s="18"/>
      <c r="V22" s="18"/>
      <c r="W22" s="25"/>
      <c r="X22" s="25"/>
      <c r="Y22" s="25"/>
      <c r="Z22" s="25"/>
    </row>
    <row r="23">
      <c r="A23" s="28"/>
      <c r="B23" s="19">
        <v>40930.0</v>
      </c>
      <c r="C23" s="20">
        <v>4.0</v>
      </c>
      <c r="D23" s="26">
        <v>22.0</v>
      </c>
      <c r="E23" s="34">
        <f t="shared" si="2"/>
        <v>6590.032258</v>
      </c>
      <c r="F23" s="34">
        <f t="shared" si="4"/>
        <v>0.7741935484</v>
      </c>
      <c r="G23" s="35">
        <f t="shared" si="5"/>
        <v>6748.432093</v>
      </c>
      <c r="H23" s="32"/>
      <c r="I23" s="34">
        <f t="shared" si="1"/>
        <v>4</v>
      </c>
      <c r="J23" s="35">
        <f>SUM(G23:G29)</f>
        <v>47714.22416</v>
      </c>
      <c r="K23" s="24">
        <v>47714.22416</v>
      </c>
      <c r="L23" s="9">
        <f t="shared" si="3"/>
        <v>43539.86612</v>
      </c>
      <c r="M23" s="24">
        <v>43539.86612</v>
      </c>
      <c r="N23" s="25">
        <v>13078.64023</v>
      </c>
      <c r="O23" s="25">
        <v>11573.45936</v>
      </c>
      <c r="P23" s="25">
        <v>2987.215558</v>
      </c>
      <c r="Q23" s="25">
        <v>20325.9157</v>
      </c>
      <c r="R23" s="18"/>
      <c r="S23" s="25">
        <v>11723.79618</v>
      </c>
      <c r="T23" s="25">
        <v>10524.38084</v>
      </c>
      <c r="U23" s="25">
        <v>2608.549912</v>
      </c>
      <c r="V23" s="25">
        <v>19210.57417</v>
      </c>
      <c r="W23" s="25">
        <v>1354.844054</v>
      </c>
      <c r="X23" s="25">
        <v>1049.078523</v>
      </c>
      <c r="Y23" s="25">
        <v>378.6656461</v>
      </c>
      <c r="Z23" s="25">
        <v>1115.341533</v>
      </c>
    </row>
    <row r="24">
      <c r="A24" s="28"/>
      <c r="B24" s="19">
        <v>40931.0</v>
      </c>
      <c r="C24" s="20">
        <v>4.0</v>
      </c>
      <c r="D24" s="26">
        <v>23.0</v>
      </c>
      <c r="E24" s="34">
        <f t="shared" si="2"/>
        <v>6590.032258</v>
      </c>
      <c r="F24" s="34">
        <f t="shared" si="4"/>
        <v>0.7419354839</v>
      </c>
      <c r="G24" s="35">
        <f t="shared" si="5"/>
        <v>6771.060641</v>
      </c>
      <c r="H24" s="32"/>
      <c r="I24" s="34">
        <f t="shared" si="1"/>
        <v>4</v>
      </c>
      <c r="J24" s="32"/>
      <c r="K24" s="27"/>
      <c r="L24" s="9">
        <f t="shared" si="3"/>
        <v>43539.86612</v>
      </c>
      <c r="M24" s="27"/>
      <c r="N24" s="18"/>
      <c r="O24" s="18"/>
      <c r="P24" s="18"/>
      <c r="Q24" s="18"/>
      <c r="R24" s="18"/>
      <c r="S24" s="18"/>
      <c r="T24" s="18"/>
      <c r="U24" s="18"/>
      <c r="V24" s="18"/>
      <c r="W24" s="25"/>
      <c r="X24" s="25"/>
      <c r="Y24" s="25"/>
      <c r="Z24" s="25"/>
    </row>
    <row r="25">
      <c r="A25" s="28"/>
      <c r="B25" s="19">
        <v>40932.0</v>
      </c>
      <c r="C25" s="20">
        <v>4.0</v>
      </c>
      <c r="D25" s="26">
        <v>24.0</v>
      </c>
      <c r="E25" s="34">
        <f t="shared" si="2"/>
        <v>6590.032258</v>
      </c>
      <c r="F25" s="34">
        <f t="shared" si="4"/>
        <v>0.7096774194</v>
      </c>
      <c r="G25" s="35">
        <f t="shared" si="5"/>
        <v>6793.689189</v>
      </c>
      <c r="H25" s="32"/>
      <c r="I25" s="34">
        <f t="shared" si="1"/>
        <v>4</v>
      </c>
      <c r="J25" s="32"/>
      <c r="K25" s="27"/>
      <c r="L25" s="9">
        <f t="shared" si="3"/>
        <v>43539.86612</v>
      </c>
      <c r="M25" s="27"/>
      <c r="N25" s="18"/>
      <c r="O25" s="18"/>
      <c r="P25" s="18"/>
      <c r="Q25" s="18"/>
      <c r="R25" s="18"/>
      <c r="S25" s="18"/>
      <c r="T25" s="18"/>
      <c r="U25" s="18"/>
      <c r="V25" s="18"/>
      <c r="W25" s="25"/>
      <c r="X25" s="25"/>
      <c r="Y25" s="25"/>
      <c r="Z25" s="25"/>
    </row>
    <row r="26">
      <c r="A26" s="28"/>
      <c r="B26" s="19">
        <v>40933.0</v>
      </c>
      <c r="C26" s="20">
        <v>4.0</v>
      </c>
      <c r="D26" s="26">
        <v>25.0</v>
      </c>
      <c r="E26" s="34">
        <f t="shared" si="2"/>
        <v>6590.032258</v>
      </c>
      <c r="F26" s="34">
        <f t="shared" si="4"/>
        <v>0.6774193548</v>
      </c>
      <c r="G26" s="35">
        <f t="shared" si="5"/>
        <v>6816.317737</v>
      </c>
      <c r="H26" s="32"/>
      <c r="I26" s="34">
        <f t="shared" si="1"/>
        <v>4</v>
      </c>
      <c r="J26" s="32"/>
      <c r="K26" s="27"/>
      <c r="L26" s="9">
        <f t="shared" si="3"/>
        <v>43539.86612</v>
      </c>
      <c r="M26" s="27"/>
      <c r="N26" s="18"/>
      <c r="O26" s="18"/>
      <c r="P26" s="18"/>
      <c r="Q26" s="18"/>
      <c r="R26" s="18"/>
      <c r="S26" s="18"/>
      <c r="T26" s="18"/>
      <c r="U26" s="18"/>
      <c r="V26" s="18"/>
      <c r="W26" s="25"/>
      <c r="X26" s="25"/>
      <c r="Y26" s="25"/>
      <c r="Z26" s="25"/>
    </row>
    <row r="27">
      <c r="A27" s="28"/>
      <c r="B27" s="19">
        <v>40934.0</v>
      </c>
      <c r="C27" s="20">
        <v>4.0</v>
      </c>
      <c r="D27" s="26">
        <v>26.0</v>
      </c>
      <c r="E27" s="34">
        <f t="shared" si="2"/>
        <v>6590.032258</v>
      </c>
      <c r="F27" s="34">
        <f t="shared" si="4"/>
        <v>0.6451612903</v>
      </c>
      <c r="G27" s="35">
        <f t="shared" si="5"/>
        <v>6838.946284</v>
      </c>
      <c r="H27" s="32"/>
      <c r="I27" s="34">
        <f t="shared" si="1"/>
        <v>4</v>
      </c>
      <c r="J27" s="32"/>
      <c r="K27" s="27"/>
      <c r="L27" s="9">
        <f t="shared" si="3"/>
        <v>43539.86612</v>
      </c>
      <c r="M27" s="27"/>
      <c r="N27" s="18"/>
      <c r="O27" s="18"/>
      <c r="P27" s="18"/>
      <c r="Q27" s="18"/>
      <c r="R27" s="18"/>
      <c r="S27" s="18"/>
      <c r="T27" s="18"/>
      <c r="U27" s="18"/>
      <c r="V27" s="18"/>
      <c r="W27" s="25"/>
      <c r="X27" s="25"/>
      <c r="Y27" s="25"/>
      <c r="Z27" s="25"/>
    </row>
    <row r="28">
      <c r="A28" s="28"/>
      <c r="B28" s="19">
        <v>40935.0</v>
      </c>
      <c r="C28" s="20">
        <v>4.0</v>
      </c>
      <c r="D28" s="26">
        <v>27.0</v>
      </c>
      <c r="E28" s="34">
        <f t="shared" si="2"/>
        <v>6590.032258</v>
      </c>
      <c r="F28" s="34">
        <f t="shared" si="4"/>
        <v>0.6129032258</v>
      </c>
      <c r="G28" s="35">
        <f t="shared" si="5"/>
        <v>6861.574832</v>
      </c>
      <c r="H28" s="32"/>
      <c r="I28" s="34">
        <f t="shared" si="1"/>
        <v>4</v>
      </c>
      <c r="J28" s="32"/>
      <c r="K28" s="27"/>
      <c r="L28" s="9">
        <f t="shared" si="3"/>
        <v>43539.86612</v>
      </c>
      <c r="M28" s="27"/>
      <c r="N28" s="18"/>
      <c r="O28" s="18"/>
      <c r="P28" s="18"/>
      <c r="Q28" s="18"/>
      <c r="R28" s="18"/>
      <c r="S28" s="18"/>
      <c r="T28" s="18"/>
      <c r="U28" s="18"/>
      <c r="V28" s="18"/>
      <c r="W28" s="25"/>
      <c r="X28" s="25"/>
      <c r="Y28" s="25"/>
      <c r="Z28" s="25"/>
    </row>
    <row r="29">
      <c r="A29" s="28"/>
      <c r="B29" s="19">
        <v>40936.0</v>
      </c>
      <c r="C29" s="20">
        <v>4.0</v>
      </c>
      <c r="D29" s="26">
        <v>28.0</v>
      </c>
      <c r="E29" s="34">
        <f t="shared" si="2"/>
        <v>6590.032258</v>
      </c>
      <c r="F29" s="34">
        <f t="shared" si="4"/>
        <v>0.5806451613</v>
      </c>
      <c r="G29" s="35">
        <f t="shared" si="5"/>
        <v>6884.20338</v>
      </c>
      <c r="H29" s="32"/>
      <c r="I29" s="34">
        <f t="shared" si="1"/>
        <v>4</v>
      </c>
      <c r="J29" s="32"/>
      <c r="K29" s="27"/>
      <c r="L29" s="9">
        <f t="shared" si="3"/>
        <v>43539.86612</v>
      </c>
      <c r="M29" s="27"/>
      <c r="N29" s="18"/>
      <c r="O29" s="18"/>
      <c r="P29" s="18"/>
      <c r="Q29" s="18"/>
      <c r="R29" s="18"/>
      <c r="S29" s="18"/>
      <c r="T29" s="18"/>
      <c r="U29" s="18"/>
      <c r="V29" s="18"/>
      <c r="W29" s="25"/>
      <c r="X29" s="25"/>
      <c r="Y29" s="25"/>
      <c r="Z29" s="25"/>
    </row>
    <row r="30">
      <c r="A30" s="28"/>
      <c r="B30" s="19">
        <v>40937.0</v>
      </c>
      <c r="C30" s="20">
        <v>5.0</v>
      </c>
      <c r="D30" s="26">
        <v>29.0</v>
      </c>
      <c r="E30" s="34">
        <f t="shared" si="2"/>
        <v>6590.032258</v>
      </c>
      <c r="F30" s="34">
        <f t="shared" si="4"/>
        <v>0.5483870968</v>
      </c>
      <c r="G30" s="35">
        <f t="shared" si="5"/>
        <v>6906.831928</v>
      </c>
      <c r="H30" s="32"/>
      <c r="I30" s="34">
        <f t="shared" si="1"/>
        <v>5</v>
      </c>
      <c r="J30" s="35">
        <f>SUM(G30:G36)</f>
        <v>48823.023</v>
      </c>
      <c r="K30" s="24">
        <v>48823.023</v>
      </c>
      <c r="L30" s="9">
        <f t="shared" si="3"/>
        <v>43539.86612</v>
      </c>
      <c r="M30" s="24">
        <v>43539.86612</v>
      </c>
      <c r="N30" s="25">
        <v>12908.97722</v>
      </c>
      <c r="O30" s="25">
        <v>11336.14317</v>
      </c>
      <c r="P30" s="25">
        <v>3017.86373</v>
      </c>
      <c r="Q30" s="25">
        <v>21580.78408</v>
      </c>
      <c r="R30" s="18"/>
      <c r="S30" s="25">
        <v>11322.40204</v>
      </c>
      <c r="T30" s="25">
        <v>10582.07481</v>
      </c>
      <c r="U30" s="25">
        <v>2530.777696</v>
      </c>
      <c r="V30" s="25">
        <v>18901.55729</v>
      </c>
      <c r="W30" s="25">
        <v>1586.575185</v>
      </c>
      <c r="X30" s="25">
        <v>754.0683622</v>
      </c>
      <c r="Y30" s="25">
        <v>487.0860343</v>
      </c>
      <c r="Z30" s="25">
        <v>2679.226786</v>
      </c>
    </row>
    <row r="31">
      <c r="A31" s="28"/>
      <c r="B31" s="19">
        <v>40938.0</v>
      </c>
      <c r="C31" s="20">
        <v>5.0</v>
      </c>
      <c r="D31" s="26">
        <v>30.0</v>
      </c>
      <c r="E31" s="34">
        <f t="shared" si="2"/>
        <v>6590.032258</v>
      </c>
      <c r="F31" s="34">
        <f t="shared" si="4"/>
        <v>0.5161290323</v>
      </c>
      <c r="G31" s="35">
        <f t="shared" si="5"/>
        <v>6929.460476</v>
      </c>
      <c r="H31" s="32"/>
      <c r="I31" s="34">
        <f t="shared" si="1"/>
        <v>5</v>
      </c>
      <c r="J31" s="32"/>
      <c r="K31" s="27"/>
      <c r="L31" s="9">
        <f t="shared" si="3"/>
        <v>43539.86612</v>
      </c>
      <c r="M31" s="27"/>
      <c r="N31" s="18"/>
      <c r="O31" s="18"/>
      <c r="P31" s="18"/>
      <c r="Q31" s="18"/>
      <c r="R31" s="18"/>
      <c r="S31" s="18"/>
      <c r="T31" s="18"/>
      <c r="U31" s="18"/>
      <c r="V31" s="18"/>
      <c r="W31" s="25"/>
      <c r="X31" s="25"/>
      <c r="Y31" s="25"/>
      <c r="Z31" s="25"/>
    </row>
    <row r="32">
      <c r="A32" s="28"/>
      <c r="B32" s="19">
        <v>40939.0</v>
      </c>
      <c r="C32" s="20">
        <v>5.0</v>
      </c>
      <c r="D32" s="26">
        <v>31.0</v>
      </c>
      <c r="E32" s="34">
        <f t="shared" si="2"/>
        <v>6590.032258</v>
      </c>
      <c r="F32" s="34">
        <f t="shared" si="4"/>
        <v>0.4838709677</v>
      </c>
      <c r="G32" s="35">
        <f t="shared" si="5"/>
        <v>6952.089024</v>
      </c>
      <c r="H32" s="32"/>
      <c r="I32" s="34">
        <f t="shared" si="1"/>
        <v>5</v>
      </c>
      <c r="J32" s="32"/>
      <c r="K32" s="27"/>
      <c r="L32" s="9">
        <f t="shared" si="3"/>
        <v>43539.86612</v>
      </c>
      <c r="M32" s="27"/>
      <c r="N32" s="18"/>
      <c r="O32" s="18"/>
      <c r="P32" s="18"/>
      <c r="Q32" s="18"/>
      <c r="R32" s="18"/>
      <c r="S32" s="18"/>
      <c r="T32" s="18"/>
      <c r="U32" s="18"/>
      <c r="V32" s="18"/>
      <c r="W32" s="25"/>
      <c r="X32" s="25"/>
      <c r="Y32" s="25"/>
      <c r="Z32" s="25"/>
    </row>
    <row r="33">
      <c r="A33" s="13" t="s">
        <v>65</v>
      </c>
      <c r="B33" s="19">
        <v>40940.0</v>
      </c>
      <c r="C33" s="20">
        <v>5.0</v>
      </c>
      <c r="D33" s="21">
        <v>32.0</v>
      </c>
      <c r="E33" s="34">
        <f>A34/29</f>
        <v>7291.517241</v>
      </c>
      <c r="F33" s="34">
        <f t="shared" si="4"/>
        <v>0.4516129032</v>
      </c>
      <c r="G33" s="35">
        <f t="shared" si="5"/>
        <v>6974.717571</v>
      </c>
      <c r="H33" s="32"/>
      <c r="I33" s="34">
        <f t="shared" si="1"/>
        <v>5</v>
      </c>
      <c r="J33" s="32"/>
      <c r="K33" s="27"/>
      <c r="L33" s="9">
        <f t="shared" si="3"/>
        <v>43539.86612</v>
      </c>
      <c r="M33" s="27"/>
      <c r="N33" s="18"/>
      <c r="O33" s="18"/>
      <c r="P33" s="18"/>
      <c r="Q33" s="18"/>
      <c r="R33" s="18"/>
      <c r="S33" s="18"/>
      <c r="T33" s="18"/>
      <c r="U33" s="18"/>
      <c r="V33" s="18"/>
      <c r="W33" s="25"/>
      <c r="X33" s="25"/>
      <c r="Y33" s="25"/>
      <c r="Z33" s="25"/>
    </row>
    <row r="34">
      <c r="A34" s="20">
        <v>211454.0</v>
      </c>
      <c r="B34" s="19">
        <v>40941.0</v>
      </c>
      <c r="C34" s="20">
        <v>5.0</v>
      </c>
      <c r="D34" s="26">
        <v>33.0</v>
      </c>
      <c r="E34" s="34">
        <f t="shared" ref="E34:E61" si="6">E33</f>
        <v>7291.517241</v>
      </c>
      <c r="F34" s="34">
        <f t="shared" si="4"/>
        <v>0.4193548387</v>
      </c>
      <c r="G34" s="35">
        <f t="shared" si="5"/>
        <v>6997.346119</v>
      </c>
      <c r="H34" s="32"/>
      <c r="I34" s="34">
        <f t="shared" si="1"/>
        <v>5</v>
      </c>
      <c r="J34" s="32"/>
      <c r="K34" s="27"/>
      <c r="L34" s="9">
        <f t="shared" si="3"/>
        <v>43539.86612</v>
      </c>
      <c r="M34" s="27"/>
      <c r="N34" s="18"/>
      <c r="O34" s="18"/>
      <c r="P34" s="18"/>
      <c r="Q34" s="18"/>
      <c r="R34" s="18"/>
      <c r="S34" s="18"/>
      <c r="T34" s="18"/>
      <c r="U34" s="18"/>
      <c r="V34" s="18"/>
      <c r="W34" s="25"/>
      <c r="X34" s="25"/>
      <c r="Y34" s="25"/>
      <c r="Z34" s="25"/>
    </row>
    <row r="35">
      <c r="A35" s="28"/>
      <c r="B35" s="19">
        <v>40942.0</v>
      </c>
      <c r="C35" s="20">
        <v>5.0</v>
      </c>
      <c r="D35" s="26">
        <v>34.0</v>
      </c>
      <c r="E35" s="34">
        <f t="shared" si="6"/>
        <v>7291.517241</v>
      </c>
      <c r="F35" s="34">
        <f t="shared" si="4"/>
        <v>0.3870967742</v>
      </c>
      <c r="G35" s="35">
        <f t="shared" si="5"/>
        <v>7019.974667</v>
      </c>
      <c r="H35" s="32"/>
      <c r="I35" s="34">
        <f t="shared" si="1"/>
        <v>5</v>
      </c>
      <c r="J35" s="32"/>
      <c r="K35" s="27"/>
      <c r="L35" s="9">
        <f t="shared" si="3"/>
        <v>43539.86612</v>
      </c>
      <c r="M35" s="27"/>
      <c r="N35" s="18"/>
      <c r="O35" s="18"/>
      <c r="P35" s="18"/>
      <c r="Q35" s="18"/>
      <c r="R35" s="18"/>
      <c r="S35" s="18"/>
      <c r="T35" s="18"/>
      <c r="U35" s="18"/>
      <c r="V35" s="18"/>
      <c r="W35" s="25"/>
      <c r="X35" s="25"/>
      <c r="Y35" s="25"/>
      <c r="Z35" s="25"/>
    </row>
    <row r="36">
      <c r="A36" s="28"/>
      <c r="B36" s="19">
        <v>40943.0</v>
      </c>
      <c r="C36" s="20">
        <v>5.0</v>
      </c>
      <c r="D36" s="26">
        <v>35.0</v>
      </c>
      <c r="E36" s="34">
        <f t="shared" si="6"/>
        <v>7291.517241</v>
      </c>
      <c r="F36" s="34">
        <f t="shared" si="4"/>
        <v>0.3548387097</v>
      </c>
      <c r="G36" s="35">
        <f t="shared" si="5"/>
        <v>7042.603215</v>
      </c>
      <c r="H36" s="32"/>
      <c r="I36" s="34">
        <f t="shared" si="1"/>
        <v>5</v>
      </c>
      <c r="J36" s="32"/>
      <c r="K36" s="27"/>
      <c r="L36" s="9">
        <f t="shared" si="3"/>
        <v>43539.86612</v>
      </c>
      <c r="M36" s="27"/>
      <c r="N36" s="18"/>
      <c r="O36" s="18"/>
      <c r="P36" s="18"/>
      <c r="Q36" s="18"/>
      <c r="R36" s="18"/>
      <c r="S36" s="18"/>
      <c r="T36" s="18"/>
      <c r="U36" s="18"/>
      <c r="V36" s="18"/>
      <c r="W36" s="25"/>
      <c r="X36" s="25"/>
      <c r="Y36" s="25"/>
      <c r="Z36" s="25"/>
    </row>
    <row r="37">
      <c r="A37" s="28"/>
      <c r="B37" s="19">
        <v>40944.0</v>
      </c>
      <c r="C37" s="20">
        <v>6.0</v>
      </c>
      <c r="D37" s="26">
        <v>36.0</v>
      </c>
      <c r="E37" s="34">
        <f t="shared" si="6"/>
        <v>7291.517241</v>
      </c>
      <c r="F37" s="34">
        <f t="shared" si="4"/>
        <v>0.3225806452</v>
      </c>
      <c r="G37" s="35">
        <f t="shared" si="5"/>
        <v>7065.231763</v>
      </c>
      <c r="H37" s="32"/>
      <c r="I37" s="34">
        <f t="shared" si="1"/>
        <v>6</v>
      </c>
      <c r="J37" s="35">
        <f>SUM(G37:G43)</f>
        <v>49931.82185</v>
      </c>
      <c r="K37" s="24">
        <v>49931.82185</v>
      </c>
      <c r="L37" s="9">
        <f t="shared" si="3"/>
        <v>43539.86612</v>
      </c>
      <c r="M37" s="24">
        <v>43539.86612</v>
      </c>
      <c r="N37" s="25">
        <v>13501.7284</v>
      </c>
      <c r="O37" s="25">
        <v>11935.15195</v>
      </c>
      <c r="P37" s="25">
        <v>3125.601591</v>
      </c>
      <c r="Q37" s="25">
        <v>22412.51979</v>
      </c>
      <c r="R37" s="18"/>
      <c r="S37" s="25">
        <v>11692.24668</v>
      </c>
      <c r="T37" s="25">
        <v>10444.91971</v>
      </c>
      <c r="U37" s="25">
        <v>2680.758939</v>
      </c>
      <c r="V37" s="25">
        <v>18899.83164</v>
      </c>
      <c r="W37" s="25">
        <v>1809.481721</v>
      </c>
      <c r="X37" s="25">
        <v>1490.232234</v>
      </c>
      <c r="Y37" s="25">
        <v>444.8426523</v>
      </c>
      <c r="Z37" s="25">
        <v>3512.688159</v>
      </c>
    </row>
    <row r="38">
      <c r="A38" s="28"/>
      <c r="B38" s="19">
        <v>40945.0</v>
      </c>
      <c r="C38" s="20">
        <v>6.0</v>
      </c>
      <c r="D38" s="26">
        <v>37.0</v>
      </c>
      <c r="E38" s="34">
        <f t="shared" si="6"/>
        <v>7291.517241</v>
      </c>
      <c r="F38" s="34">
        <f t="shared" si="4"/>
        <v>0.2903225806</v>
      </c>
      <c r="G38" s="35">
        <f t="shared" si="5"/>
        <v>7087.860311</v>
      </c>
      <c r="H38" s="32"/>
      <c r="I38" s="34">
        <f t="shared" si="1"/>
        <v>6</v>
      </c>
      <c r="J38" s="32"/>
      <c r="K38" s="27"/>
      <c r="L38" s="9">
        <f t="shared" si="3"/>
        <v>43539.86612</v>
      </c>
      <c r="M38" s="27"/>
      <c r="N38" s="18"/>
      <c r="O38" s="18"/>
      <c r="P38" s="18"/>
      <c r="Q38" s="18"/>
      <c r="R38" s="18"/>
      <c r="S38" s="18"/>
      <c r="T38" s="18"/>
      <c r="U38" s="18"/>
      <c r="V38" s="18"/>
      <c r="W38" s="25"/>
      <c r="X38" s="25"/>
      <c r="Y38" s="25"/>
      <c r="Z38" s="25"/>
    </row>
    <row r="39">
      <c r="A39" s="28"/>
      <c r="B39" s="19">
        <v>40946.0</v>
      </c>
      <c r="C39" s="20">
        <v>6.0</v>
      </c>
      <c r="D39" s="26">
        <v>38.0</v>
      </c>
      <c r="E39" s="34">
        <f t="shared" si="6"/>
        <v>7291.517241</v>
      </c>
      <c r="F39" s="34">
        <f t="shared" si="4"/>
        <v>0.2580645161</v>
      </c>
      <c r="G39" s="35">
        <f t="shared" si="5"/>
        <v>7110.488859</v>
      </c>
      <c r="H39" s="32"/>
      <c r="I39" s="34">
        <f t="shared" si="1"/>
        <v>6</v>
      </c>
      <c r="J39" s="32"/>
      <c r="K39" s="27"/>
      <c r="L39" s="9">
        <f t="shared" si="3"/>
        <v>43539.86612</v>
      </c>
      <c r="M39" s="27"/>
      <c r="N39" s="18"/>
      <c r="O39" s="18"/>
      <c r="P39" s="18"/>
      <c r="Q39" s="18"/>
      <c r="R39" s="18"/>
      <c r="S39" s="18"/>
      <c r="T39" s="18"/>
      <c r="U39" s="18"/>
      <c r="V39" s="18"/>
      <c r="W39" s="25"/>
      <c r="X39" s="25"/>
      <c r="Y39" s="25"/>
      <c r="Z39" s="25"/>
    </row>
    <row r="40">
      <c r="A40" s="28"/>
      <c r="B40" s="19">
        <v>40947.0</v>
      </c>
      <c r="C40" s="20">
        <v>6.0</v>
      </c>
      <c r="D40" s="26">
        <v>39.0</v>
      </c>
      <c r="E40" s="34">
        <f t="shared" si="6"/>
        <v>7291.517241</v>
      </c>
      <c r="F40" s="34">
        <f t="shared" si="4"/>
        <v>0.2258064516</v>
      </c>
      <c r="G40" s="35">
        <f t="shared" si="5"/>
        <v>7133.117406</v>
      </c>
      <c r="H40" s="32"/>
      <c r="I40" s="34">
        <f t="shared" si="1"/>
        <v>6</v>
      </c>
      <c r="J40" s="32"/>
      <c r="K40" s="27"/>
      <c r="L40" s="9">
        <f t="shared" si="3"/>
        <v>43539.86612</v>
      </c>
      <c r="M40" s="27"/>
      <c r="N40" s="18"/>
      <c r="O40" s="18"/>
      <c r="P40" s="18"/>
      <c r="Q40" s="18"/>
      <c r="R40" s="18"/>
      <c r="S40" s="18"/>
      <c r="T40" s="18"/>
      <c r="U40" s="18"/>
      <c r="V40" s="18"/>
      <c r="W40" s="25"/>
      <c r="X40" s="25"/>
      <c r="Y40" s="25"/>
      <c r="Z40" s="25"/>
    </row>
    <row r="41">
      <c r="A41" s="28"/>
      <c r="B41" s="19">
        <v>40948.0</v>
      </c>
      <c r="C41" s="20">
        <v>6.0</v>
      </c>
      <c r="D41" s="26">
        <v>40.0</v>
      </c>
      <c r="E41" s="34">
        <f t="shared" si="6"/>
        <v>7291.517241</v>
      </c>
      <c r="F41" s="34">
        <f t="shared" si="4"/>
        <v>0.1935483871</v>
      </c>
      <c r="G41" s="35">
        <f t="shared" si="5"/>
        <v>7155.745954</v>
      </c>
      <c r="H41" s="32"/>
      <c r="I41" s="34">
        <f t="shared" si="1"/>
        <v>6</v>
      </c>
      <c r="J41" s="32"/>
      <c r="K41" s="27"/>
      <c r="L41" s="9">
        <f t="shared" si="3"/>
        <v>43539.86612</v>
      </c>
      <c r="M41" s="27"/>
      <c r="N41" s="18"/>
      <c r="O41" s="18"/>
      <c r="P41" s="18"/>
      <c r="Q41" s="18"/>
      <c r="R41" s="18"/>
      <c r="S41" s="18"/>
      <c r="T41" s="18"/>
      <c r="U41" s="18"/>
      <c r="V41" s="18"/>
      <c r="W41" s="25"/>
      <c r="X41" s="25"/>
      <c r="Y41" s="25"/>
      <c r="Z41" s="25"/>
    </row>
    <row r="42">
      <c r="A42" s="28"/>
      <c r="B42" s="19">
        <v>40949.0</v>
      </c>
      <c r="C42" s="20">
        <v>6.0</v>
      </c>
      <c r="D42" s="26">
        <v>41.0</v>
      </c>
      <c r="E42" s="34">
        <f t="shared" si="6"/>
        <v>7291.517241</v>
      </c>
      <c r="F42" s="34">
        <f t="shared" si="4"/>
        <v>0.1612903226</v>
      </c>
      <c r="G42" s="35">
        <f t="shared" si="5"/>
        <v>7178.374502</v>
      </c>
      <c r="H42" s="32"/>
      <c r="I42" s="34">
        <f t="shared" si="1"/>
        <v>6</v>
      </c>
      <c r="J42" s="32"/>
      <c r="K42" s="27"/>
      <c r="L42" s="9">
        <f t="shared" si="3"/>
        <v>43539.86612</v>
      </c>
      <c r="M42" s="27"/>
      <c r="N42" s="18"/>
      <c r="O42" s="18"/>
      <c r="P42" s="18"/>
      <c r="Q42" s="18"/>
      <c r="R42" s="18"/>
      <c r="S42" s="18"/>
      <c r="T42" s="18"/>
      <c r="U42" s="18"/>
      <c r="V42" s="18"/>
      <c r="W42" s="25"/>
      <c r="X42" s="25"/>
      <c r="Y42" s="25"/>
      <c r="Z42" s="25"/>
    </row>
    <row r="43">
      <c r="A43" s="28"/>
      <c r="B43" s="19">
        <v>40950.0</v>
      </c>
      <c r="C43" s="20">
        <v>6.0</v>
      </c>
      <c r="D43" s="26">
        <v>42.0</v>
      </c>
      <c r="E43" s="34">
        <f t="shared" si="6"/>
        <v>7291.517241</v>
      </c>
      <c r="F43" s="34">
        <f t="shared" si="4"/>
        <v>0.1290322581</v>
      </c>
      <c r="G43" s="35">
        <f t="shared" si="5"/>
        <v>7201.00305</v>
      </c>
      <c r="H43" s="32"/>
      <c r="I43" s="34">
        <f t="shared" si="1"/>
        <v>6</v>
      </c>
      <c r="J43" s="32"/>
      <c r="K43" s="27"/>
      <c r="L43" s="9">
        <f t="shared" si="3"/>
        <v>43539.86612</v>
      </c>
      <c r="M43" s="27"/>
      <c r="N43" s="18"/>
      <c r="O43" s="18"/>
      <c r="P43" s="18"/>
      <c r="Q43" s="18"/>
      <c r="R43" s="18"/>
      <c r="S43" s="18"/>
      <c r="T43" s="18"/>
      <c r="U43" s="18"/>
      <c r="V43" s="18"/>
      <c r="W43" s="25"/>
      <c r="X43" s="25"/>
      <c r="Y43" s="25"/>
      <c r="Z43" s="25"/>
    </row>
    <row r="44">
      <c r="A44" s="28"/>
      <c r="B44" s="19">
        <v>40951.0</v>
      </c>
      <c r="C44" s="20">
        <v>7.0</v>
      </c>
      <c r="D44" s="26">
        <v>43.0</v>
      </c>
      <c r="E44" s="34">
        <f t="shared" si="6"/>
        <v>7291.517241</v>
      </c>
      <c r="F44" s="34">
        <f t="shared" si="4"/>
        <v>0.09677419355</v>
      </c>
      <c r="G44" s="35">
        <f t="shared" si="5"/>
        <v>7223.631598</v>
      </c>
      <c r="H44" s="32"/>
      <c r="I44" s="34">
        <f t="shared" si="1"/>
        <v>7</v>
      </c>
      <c r="J44" s="35">
        <f>SUM(G44:G50)</f>
        <v>51015.47876</v>
      </c>
      <c r="K44" s="24">
        <v>51015.47876</v>
      </c>
      <c r="L44" s="9">
        <f t="shared" si="3"/>
        <v>43539.86612</v>
      </c>
      <c r="M44" s="24">
        <v>43539.86612</v>
      </c>
      <c r="N44" s="25">
        <v>13020.2754</v>
      </c>
      <c r="O44" s="25">
        <v>12259.56668</v>
      </c>
      <c r="P44" s="25">
        <v>3162.318158</v>
      </c>
      <c r="Q44" s="25">
        <v>22469.40562</v>
      </c>
      <c r="R44" s="18"/>
      <c r="S44" s="25">
        <v>11517.82947</v>
      </c>
      <c r="T44" s="25">
        <v>10821.28711</v>
      </c>
      <c r="U44" s="25">
        <v>2729.912478</v>
      </c>
      <c r="V44" s="25">
        <v>19201.76729</v>
      </c>
      <c r="W44" s="25">
        <v>1502.445931</v>
      </c>
      <c r="X44" s="25">
        <v>1438.279569</v>
      </c>
      <c r="Y44" s="25">
        <v>432.40568</v>
      </c>
      <c r="Z44" s="25">
        <v>3267.638325</v>
      </c>
    </row>
    <row r="45">
      <c r="A45" s="28"/>
      <c r="B45" s="19">
        <v>40952.0</v>
      </c>
      <c r="C45" s="20">
        <v>7.0</v>
      </c>
      <c r="D45" s="26">
        <v>44.0</v>
      </c>
      <c r="E45" s="34">
        <f t="shared" si="6"/>
        <v>7291.517241</v>
      </c>
      <c r="F45" s="34">
        <f t="shared" si="4"/>
        <v>0.06451612903</v>
      </c>
      <c r="G45" s="35">
        <f t="shared" si="5"/>
        <v>7246.260146</v>
      </c>
      <c r="H45" s="32"/>
      <c r="I45" s="34">
        <f t="shared" si="1"/>
        <v>7</v>
      </c>
      <c r="J45" s="32"/>
      <c r="K45" s="27"/>
      <c r="L45" s="9">
        <f t="shared" si="3"/>
        <v>43539.86612</v>
      </c>
      <c r="M45" s="27"/>
      <c r="N45" s="18"/>
      <c r="O45" s="18"/>
      <c r="P45" s="18"/>
      <c r="Q45" s="18"/>
      <c r="R45" s="18"/>
      <c r="S45" s="18"/>
      <c r="T45" s="18"/>
      <c r="U45" s="18"/>
      <c r="V45" s="18"/>
      <c r="W45" s="25"/>
      <c r="X45" s="25"/>
      <c r="Y45" s="25"/>
      <c r="Z45" s="25"/>
    </row>
    <row r="46">
      <c r="A46" s="28"/>
      <c r="B46" s="19">
        <v>40953.0</v>
      </c>
      <c r="C46" s="20">
        <v>7.0</v>
      </c>
      <c r="D46" s="26">
        <v>45.0</v>
      </c>
      <c r="E46" s="34">
        <f t="shared" si="6"/>
        <v>7291.517241</v>
      </c>
      <c r="F46" s="34">
        <f t="shared" si="4"/>
        <v>0.03225806452</v>
      </c>
      <c r="G46" s="35">
        <f>E31*F46+(1-F46)*E61</f>
        <v>7268.888694</v>
      </c>
      <c r="H46" s="32"/>
      <c r="I46" s="34">
        <f t="shared" si="1"/>
        <v>7</v>
      </c>
      <c r="J46" s="32"/>
      <c r="K46" s="27"/>
      <c r="L46" s="9">
        <f t="shared" si="3"/>
        <v>43539.86612</v>
      </c>
      <c r="M46" s="27"/>
      <c r="N46" s="18"/>
      <c r="O46" s="18"/>
      <c r="P46" s="18"/>
      <c r="Q46" s="18"/>
      <c r="R46" s="18"/>
      <c r="S46" s="18"/>
      <c r="T46" s="18"/>
      <c r="U46" s="18"/>
      <c r="V46" s="18"/>
      <c r="W46" s="25"/>
      <c r="X46" s="25"/>
      <c r="Y46" s="25"/>
      <c r="Z46" s="25"/>
    </row>
    <row r="47">
      <c r="A47" s="13"/>
      <c r="B47" s="19">
        <v>40954.0</v>
      </c>
      <c r="C47" s="20">
        <v>7.0</v>
      </c>
      <c r="D47" s="26">
        <v>46.0</v>
      </c>
      <c r="E47" s="34">
        <f t="shared" si="6"/>
        <v>7291.517241</v>
      </c>
      <c r="F47" s="34">
        <v>1.0</v>
      </c>
      <c r="G47" s="35">
        <f>E47</f>
        <v>7291.517241</v>
      </c>
      <c r="H47" s="32"/>
      <c r="I47" s="34">
        <f t="shared" si="1"/>
        <v>7</v>
      </c>
      <c r="J47" s="32"/>
      <c r="K47" s="27"/>
      <c r="L47" s="9">
        <f t="shared" si="3"/>
        <v>43539.86612</v>
      </c>
      <c r="M47" s="27"/>
      <c r="N47" s="18"/>
      <c r="O47" s="18"/>
      <c r="P47" s="18"/>
      <c r="Q47" s="18"/>
      <c r="R47" s="18"/>
      <c r="S47" s="18"/>
      <c r="T47" s="18"/>
      <c r="U47" s="18"/>
      <c r="V47" s="18"/>
      <c r="W47" s="25"/>
      <c r="X47" s="25"/>
      <c r="Y47" s="25"/>
      <c r="Z47" s="25"/>
    </row>
    <row r="48">
      <c r="A48" s="13"/>
      <c r="B48" s="19">
        <v>40955.0</v>
      </c>
      <c r="C48" s="20">
        <v>7.0</v>
      </c>
      <c r="D48" s="26">
        <v>47.0</v>
      </c>
      <c r="E48" s="34">
        <f t="shared" si="6"/>
        <v>7291.517241</v>
      </c>
      <c r="F48" s="34">
        <f t="shared" ref="F48:F75" si="7">abs((D48-75)/(75-46))</f>
        <v>0.9655172414</v>
      </c>
      <c r="G48" s="35">
        <f t="shared" ref="G48:G75" si="8">E33*F48+(1-F48)*E62</f>
        <v>7309.955468</v>
      </c>
      <c r="H48" s="32"/>
      <c r="I48" s="34">
        <f t="shared" si="1"/>
        <v>7</v>
      </c>
      <c r="J48" s="32"/>
      <c r="K48" s="27"/>
      <c r="L48" s="9">
        <f t="shared" si="3"/>
        <v>43539.86612</v>
      </c>
      <c r="M48" s="27"/>
      <c r="N48" s="18"/>
      <c r="O48" s="18"/>
      <c r="P48" s="18"/>
      <c r="Q48" s="18"/>
      <c r="R48" s="18"/>
      <c r="S48" s="18"/>
      <c r="T48" s="18"/>
      <c r="U48" s="18"/>
      <c r="V48" s="18"/>
      <c r="W48" s="25"/>
      <c r="X48" s="25"/>
      <c r="Y48" s="25"/>
      <c r="Z48" s="25"/>
    </row>
    <row r="49">
      <c r="A49" s="28"/>
      <c r="B49" s="19">
        <v>40956.0</v>
      </c>
      <c r="C49" s="20">
        <v>7.0</v>
      </c>
      <c r="D49" s="26">
        <v>48.0</v>
      </c>
      <c r="E49" s="34">
        <f t="shared" si="6"/>
        <v>7291.517241</v>
      </c>
      <c r="F49" s="34">
        <f t="shared" si="7"/>
        <v>0.9310344828</v>
      </c>
      <c r="G49" s="35">
        <f t="shared" si="8"/>
        <v>7328.393694</v>
      </c>
      <c r="H49" s="32"/>
      <c r="I49" s="34">
        <f t="shared" si="1"/>
        <v>7</v>
      </c>
      <c r="J49" s="32"/>
      <c r="K49" s="27"/>
      <c r="L49" s="9">
        <f t="shared" si="3"/>
        <v>43539.86612</v>
      </c>
      <c r="M49" s="27"/>
      <c r="N49" s="18"/>
      <c r="O49" s="18"/>
      <c r="P49" s="18"/>
      <c r="Q49" s="18"/>
      <c r="R49" s="18"/>
      <c r="S49" s="18"/>
      <c r="T49" s="18"/>
      <c r="U49" s="18"/>
      <c r="V49" s="18"/>
      <c r="W49" s="25"/>
      <c r="X49" s="25"/>
      <c r="Y49" s="25"/>
      <c r="Z49" s="25"/>
    </row>
    <row r="50">
      <c r="A50" s="28"/>
      <c r="B50" s="19">
        <v>40957.0</v>
      </c>
      <c r="C50" s="20">
        <v>7.0</v>
      </c>
      <c r="D50" s="26">
        <v>49.0</v>
      </c>
      <c r="E50" s="34">
        <f t="shared" si="6"/>
        <v>7291.517241</v>
      </c>
      <c r="F50" s="34">
        <f t="shared" si="7"/>
        <v>0.8965517241</v>
      </c>
      <c r="G50" s="35">
        <f t="shared" si="8"/>
        <v>7346.831921</v>
      </c>
      <c r="H50" s="32"/>
      <c r="I50" s="34">
        <f t="shared" si="1"/>
        <v>7</v>
      </c>
      <c r="J50" s="32"/>
      <c r="K50" s="27"/>
      <c r="L50" s="9">
        <f t="shared" si="3"/>
        <v>43539.86612</v>
      </c>
      <c r="M50" s="27"/>
      <c r="N50" s="18"/>
      <c r="O50" s="18"/>
      <c r="P50" s="18"/>
      <c r="Q50" s="18"/>
      <c r="R50" s="18"/>
      <c r="S50" s="18"/>
      <c r="T50" s="18"/>
      <c r="U50" s="18"/>
      <c r="V50" s="18"/>
      <c r="W50" s="25"/>
      <c r="X50" s="25"/>
      <c r="Y50" s="25"/>
      <c r="Z50" s="25"/>
    </row>
    <row r="51">
      <c r="A51" s="28"/>
      <c r="B51" s="19">
        <v>40958.0</v>
      </c>
      <c r="C51" s="20">
        <v>8.0</v>
      </c>
      <c r="D51" s="26">
        <v>50.0</v>
      </c>
      <c r="E51" s="34">
        <f t="shared" si="6"/>
        <v>7291.517241</v>
      </c>
      <c r="F51" s="34">
        <f t="shared" si="7"/>
        <v>0.8620689655</v>
      </c>
      <c r="G51" s="35">
        <f t="shared" si="8"/>
        <v>7365.270147</v>
      </c>
      <c r="H51" s="32"/>
      <c r="I51" s="34">
        <f t="shared" si="1"/>
        <v>8</v>
      </c>
      <c r="J51" s="35">
        <f>SUM(G51:G57)</f>
        <v>51944.09378</v>
      </c>
      <c r="K51" s="24">
        <v>51944.09378</v>
      </c>
      <c r="L51" s="9">
        <f t="shared" si="3"/>
        <v>43539.86612</v>
      </c>
      <c r="M51" s="24">
        <v>43539.86612</v>
      </c>
      <c r="N51" s="25">
        <v>13596.12429</v>
      </c>
      <c r="O51" s="25">
        <v>12470.36093</v>
      </c>
      <c r="P51" s="25">
        <v>3079.095777</v>
      </c>
      <c r="Q51" s="25">
        <v>22742.7054</v>
      </c>
      <c r="R51" s="18"/>
      <c r="S51" s="25">
        <v>11576.60675</v>
      </c>
      <c r="T51" s="25">
        <v>10451.68275</v>
      </c>
      <c r="U51" s="25">
        <v>2570.689205</v>
      </c>
      <c r="V51" s="25">
        <v>18309.70503</v>
      </c>
      <c r="W51" s="25">
        <v>2019.517539</v>
      </c>
      <c r="X51" s="25">
        <v>2018.678175</v>
      </c>
      <c r="Y51" s="25">
        <v>508.4065722</v>
      </c>
      <c r="Z51" s="25">
        <v>4433.000368</v>
      </c>
    </row>
    <row r="52">
      <c r="A52" s="28"/>
      <c r="B52" s="19">
        <v>40959.0</v>
      </c>
      <c r="C52" s="20">
        <v>8.0</v>
      </c>
      <c r="D52" s="26">
        <v>51.0</v>
      </c>
      <c r="E52" s="34">
        <f t="shared" si="6"/>
        <v>7291.517241</v>
      </c>
      <c r="F52" s="34">
        <f t="shared" si="7"/>
        <v>0.8275862069</v>
      </c>
      <c r="G52" s="35">
        <f t="shared" si="8"/>
        <v>7383.708373</v>
      </c>
      <c r="H52" s="32"/>
      <c r="I52" s="34">
        <f t="shared" si="1"/>
        <v>8</v>
      </c>
      <c r="J52" s="32"/>
      <c r="K52" s="27"/>
      <c r="L52" s="9">
        <f t="shared" si="3"/>
        <v>43539.86612</v>
      </c>
      <c r="M52" s="27"/>
      <c r="N52" s="18"/>
      <c r="O52" s="18"/>
      <c r="P52" s="18"/>
      <c r="Q52" s="18"/>
      <c r="R52" s="18"/>
      <c r="S52" s="18"/>
      <c r="T52" s="18"/>
      <c r="U52" s="18"/>
      <c r="V52" s="18"/>
      <c r="W52" s="25"/>
      <c r="X52" s="25"/>
      <c r="Y52" s="25"/>
      <c r="Z52" s="25"/>
    </row>
    <row r="53">
      <c r="A53" s="28"/>
      <c r="B53" s="19">
        <v>40960.0</v>
      </c>
      <c r="C53" s="20">
        <v>8.0</v>
      </c>
      <c r="D53" s="26">
        <v>52.0</v>
      </c>
      <c r="E53" s="34">
        <f t="shared" si="6"/>
        <v>7291.517241</v>
      </c>
      <c r="F53" s="34">
        <f t="shared" si="7"/>
        <v>0.7931034483</v>
      </c>
      <c r="G53" s="35">
        <f t="shared" si="8"/>
        <v>7402.1466</v>
      </c>
      <c r="H53" s="32"/>
      <c r="I53" s="34">
        <f t="shared" si="1"/>
        <v>8</v>
      </c>
      <c r="J53" s="32"/>
      <c r="K53" s="27"/>
      <c r="L53" s="9">
        <f t="shared" si="3"/>
        <v>43539.86612</v>
      </c>
      <c r="M53" s="27"/>
      <c r="N53" s="18"/>
      <c r="O53" s="18"/>
      <c r="P53" s="18"/>
      <c r="Q53" s="18"/>
      <c r="R53" s="18"/>
      <c r="S53" s="18"/>
      <c r="T53" s="18"/>
      <c r="U53" s="18"/>
      <c r="V53" s="18"/>
      <c r="W53" s="25"/>
      <c r="X53" s="25"/>
      <c r="Y53" s="25"/>
      <c r="Z53" s="25"/>
    </row>
    <row r="54">
      <c r="A54" s="28"/>
      <c r="B54" s="19">
        <v>40961.0</v>
      </c>
      <c r="C54" s="20">
        <v>8.0</v>
      </c>
      <c r="D54" s="26">
        <v>53.0</v>
      </c>
      <c r="E54" s="34">
        <f t="shared" si="6"/>
        <v>7291.517241</v>
      </c>
      <c r="F54" s="34">
        <f t="shared" si="7"/>
        <v>0.7586206897</v>
      </c>
      <c r="G54" s="35">
        <f t="shared" si="8"/>
        <v>7420.584826</v>
      </c>
      <c r="H54" s="32"/>
      <c r="I54" s="34">
        <f t="shared" si="1"/>
        <v>8</v>
      </c>
      <c r="J54" s="32"/>
      <c r="K54" s="27"/>
      <c r="L54" s="9">
        <f t="shared" si="3"/>
        <v>43539.86612</v>
      </c>
      <c r="M54" s="27"/>
      <c r="N54" s="18"/>
      <c r="O54" s="18"/>
      <c r="P54" s="18"/>
      <c r="Q54" s="18"/>
      <c r="R54" s="18"/>
      <c r="S54" s="18"/>
      <c r="T54" s="18"/>
      <c r="U54" s="18"/>
      <c r="V54" s="18"/>
      <c r="W54" s="25"/>
      <c r="X54" s="25"/>
      <c r="Y54" s="25"/>
      <c r="Z54" s="25"/>
    </row>
    <row r="55">
      <c r="A55" s="28"/>
      <c r="B55" s="19">
        <v>40962.0</v>
      </c>
      <c r="C55" s="20">
        <v>8.0</v>
      </c>
      <c r="D55" s="26">
        <v>54.0</v>
      </c>
      <c r="E55" s="34">
        <f t="shared" si="6"/>
        <v>7291.517241</v>
      </c>
      <c r="F55" s="34">
        <f t="shared" si="7"/>
        <v>0.724137931</v>
      </c>
      <c r="G55" s="35">
        <f t="shared" si="8"/>
        <v>7439.023052</v>
      </c>
      <c r="H55" s="32"/>
      <c r="I55" s="34">
        <f t="shared" si="1"/>
        <v>8</v>
      </c>
      <c r="J55" s="32"/>
      <c r="K55" s="27"/>
      <c r="L55" s="9">
        <f t="shared" si="3"/>
        <v>43539.86612</v>
      </c>
      <c r="M55" s="27"/>
      <c r="N55" s="18"/>
      <c r="O55" s="18"/>
      <c r="P55" s="18"/>
      <c r="Q55" s="18"/>
      <c r="R55" s="18"/>
      <c r="S55" s="18"/>
      <c r="T55" s="18"/>
      <c r="U55" s="18"/>
      <c r="V55" s="18"/>
      <c r="W55" s="25"/>
      <c r="X55" s="25"/>
      <c r="Y55" s="25"/>
      <c r="Z55" s="25"/>
    </row>
    <row r="56">
      <c r="A56" s="28"/>
      <c r="B56" s="19">
        <v>40963.0</v>
      </c>
      <c r="C56" s="20">
        <v>8.0</v>
      </c>
      <c r="D56" s="26">
        <v>55.0</v>
      </c>
      <c r="E56" s="34">
        <f t="shared" si="6"/>
        <v>7291.517241</v>
      </c>
      <c r="F56" s="34">
        <f t="shared" si="7"/>
        <v>0.6896551724</v>
      </c>
      <c r="G56" s="35">
        <f t="shared" si="8"/>
        <v>7457.461279</v>
      </c>
      <c r="H56" s="32"/>
      <c r="I56" s="34">
        <f t="shared" si="1"/>
        <v>8</v>
      </c>
      <c r="J56" s="32"/>
      <c r="K56" s="27"/>
      <c r="L56" s="9">
        <f t="shared" si="3"/>
        <v>43539.86612</v>
      </c>
      <c r="M56" s="27"/>
      <c r="N56" s="18"/>
      <c r="O56" s="18"/>
      <c r="P56" s="18"/>
      <c r="Q56" s="18"/>
      <c r="R56" s="18"/>
      <c r="S56" s="18"/>
      <c r="T56" s="18"/>
      <c r="U56" s="18"/>
      <c r="V56" s="18"/>
      <c r="W56" s="25"/>
      <c r="X56" s="25"/>
      <c r="Y56" s="25"/>
      <c r="Z56" s="25"/>
    </row>
    <row r="57">
      <c r="A57" s="28"/>
      <c r="B57" s="19">
        <v>40964.0</v>
      </c>
      <c r="C57" s="20">
        <v>8.0</v>
      </c>
      <c r="D57" s="26">
        <v>56.0</v>
      </c>
      <c r="E57" s="34">
        <f t="shared" si="6"/>
        <v>7291.517241</v>
      </c>
      <c r="F57" s="34">
        <f t="shared" si="7"/>
        <v>0.6551724138</v>
      </c>
      <c r="G57" s="35">
        <f t="shared" si="8"/>
        <v>7475.899505</v>
      </c>
      <c r="H57" s="32"/>
      <c r="I57" s="34">
        <f t="shared" si="1"/>
        <v>8</v>
      </c>
      <c r="J57" s="32"/>
      <c r="K57" s="27"/>
      <c r="L57" s="9">
        <f t="shared" si="3"/>
        <v>43539.86612</v>
      </c>
      <c r="M57" s="27"/>
      <c r="N57" s="18"/>
      <c r="O57" s="18"/>
      <c r="P57" s="18"/>
      <c r="Q57" s="18"/>
      <c r="R57" s="18"/>
      <c r="S57" s="18"/>
      <c r="T57" s="18"/>
      <c r="U57" s="18"/>
      <c r="V57" s="18"/>
      <c r="W57" s="25"/>
      <c r="X57" s="25"/>
      <c r="Y57" s="25"/>
      <c r="Z57" s="25"/>
    </row>
    <row r="58">
      <c r="A58" s="28"/>
      <c r="B58" s="19">
        <v>40965.0</v>
      </c>
      <c r="C58" s="20">
        <v>9.0</v>
      </c>
      <c r="D58" s="26">
        <v>57.0</v>
      </c>
      <c r="E58" s="34">
        <f t="shared" si="6"/>
        <v>7291.517241</v>
      </c>
      <c r="F58" s="34">
        <f t="shared" si="7"/>
        <v>0.6206896552</v>
      </c>
      <c r="G58" s="35">
        <f t="shared" si="8"/>
        <v>7494.337732</v>
      </c>
      <c r="H58" s="32"/>
      <c r="I58" s="34">
        <f t="shared" si="1"/>
        <v>9</v>
      </c>
      <c r="J58" s="35">
        <f>SUM(G58:G64)</f>
        <v>52847.56688</v>
      </c>
      <c r="K58" s="24">
        <v>52847.56688</v>
      </c>
      <c r="L58" s="9">
        <f t="shared" si="3"/>
        <v>43539.86612</v>
      </c>
      <c r="M58" s="24">
        <v>43539.86612</v>
      </c>
      <c r="N58" s="25">
        <v>13771.11105</v>
      </c>
      <c r="O58" s="25">
        <v>12270.94938</v>
      </c>
      <c r="P58" s="25">
        <v>3307.079867</v>
      </c>
      <c r="Q58" s="25">
        <v>23695.10115</v>
      </c>
      <c r="R58" s="18"/>
      <c r="S58" s="25">
        <v>11697.10359</v>
      </c>
      <c r="T58" s="25">
        <v>10809.03557</v>
      </c>
      <c r="U58" s="25">
        <v>2519.139511</v>
      </c>
      <c r="V58" s="25">
        <v>18409.98852</v>
      </c>
      <c r="W58" s="25">
        <v>2074.007462</v>
      </c>
      <c r="X58" s="25">
        <v>1461.91381</v>
      </c>
      <c r="Y58" s="25">
        <v>787.9403554</v>
      </c>
      <c r="Z58" s="25">
        <v>5285.112631</v>
      </c>
    </row>
    <row r="59">
      <c r="A59" s="28"/>
      <c r="B59" s="19">
        <v>40966.0</v>
      </c>
      <c r="C59" s="20">
        <v>9.0</v>
      </c>
      <c r="D59" s="26">
        <v>58.0</v>
      </c>
      <c r="E59" s="34">
        <f t="shared" si="6"/>
        <v>7291.517241</v>
      </c>
      <c r="F59" s="34">
        <f t="shared" si="7"/>
        <v>0.5862068966</v>
      </c>
      <c r="G59" s="35">
        <f t="shared" si="8"/>
        <v>7512.775958</v>
      </c>
      <c r="H59" s="32"/>
      <c r="I59" s="34">
        <f t="shared" si="1"/>
        <v>9</v>
      </c>
      <c r="J59" s="32"/>
      <c r="K59" s="27"/>
      <c r="L59" s="9">
        <f t="shared" si="3"/>
        <v>43539.86612</v>
      </c>
      <c r="M59" s="27"/>
      <c r="N59" s="18"/>
      <c r="O59" s="18"/>
      <c r="P59" s="18"/>
      <c r="Q59" s="18"/>
      <c r="R59" s="18"/>
      <c r="S59" s="18"/>
      <c r="T59" s="18"/>
      <c r="U59" s="18"/>
      <c r="V59" s="18"/>
      <c r="W59" s="25"/>
      <c r="X59" s="25"/>
      <c r="Y59" s="25"/>
      <c r="Z59" s="25"/>
    </row>
    <row r="60">
      <c r="A60" s="28"/>
      <c r="B60" s="19">
        <v>40967.0</v>
      </c>
      <c r="C60" s="20">
        <v>9.0</v>
      </c>
      <c r="D60" s="26">
        <v>59.0</v>
      </c>
      <c r="E60" s="34">
        <f t="shared" si="6"/>
        <v>7291.517241</v>
      </c>
      <c r="F60" s="34">
        <f t="shared" si="7"/>
        <v>0.5517241379</v>
      </c>
      <c r="G60" s="35">
        <f t="shared" si="8"/>
        <v>7531.214184</v>
      </c>
      <c r="H60" s="32"/>
      <c r="I60" s="34">
        <f t="shared" si="1"/>
        <v>9</v>
      </c>
      <c r="J60" s="32"/>
      <c r="K60" s="27"/>
      <c r="L60" s="9">
        <f t="shared" si="3"/>
        <v>43539.86612</v>
      </c>
      <c r="M60" s="27"/>
      <c r="N60" s="18"/>
      <c r="O60" s="18"/>
      <c r="P60" s="18"/>
      <c r="Q60" s="18"/>
      <c r="R60" s="18"/>
      <c r="S60" s="18"/>
      <c r="T60" s="18"/>
      <c r="U60" s="18"/>
      <c r="V60" s="18"/>
      <c r="W60" s="25"/>
      <c r="X60" s="25"/>
      <c r="Y60" s="25"/>
      <c r="Z60" s="25"/>
    </row>
    <row r="61">
      <c r="A61" s="28"/>
      <c r="B61" s="19">
        <v>40968.0</v>
      </c>
      <c r="C61" s="20">
        <v>9.0</v>
      </c>
      <c r="D61" s="26">
        <v>60.0</v>
      </c>
      <c r="E61" s="34">
        <f t="shared" si="6"/>
        <v>7291.517241</v>
      </c>
      <c r="F61" s="34">
        <f t="shared" si="7"/>
        <v>0.5172413793</v>
      </c>
      <c r="G61" s="35">
        <f t="shared" si="8"/>
        <v>7549.652411</v>
      </c>
      <c r="H61" s="32"/>
      <c r="I61" s="34">
        <f t="shared" si="1"/>
        <v>9</v>
      </c>
      <c r="J61" s="32"/>
      <c r="K61" s="27"/>
      <c r="L61" s="9">
        <f t="shared" si="3"/>
        <v>43539.86612</v>
      </c>
      <c r="M61" s="27"/>
      <c r="N61" s="18"/>
      <c r="O61" s="18"/>
      <c r="P61" s="18"/>
      <c r="Q61" s="18"/>
      <c r="R61" s="18"/>
      <c r="S61" s="18"/>
      <c r="T61" s="18"/>
      <c r="U61" s="18"/>
      <c r="V61" s="18"/>
      <c r="W61" s="25"/>
      <c r="X61" s="25"/>
      <c r="Y61" s="25"/>
      <c r="Z61" s="25"/>
    </row>
    <row r="62">
      <c r="A62" s="13" t="s">
        <v>66</v>
      </c>
      <c r="B62" s="19">
        <v>40969.0</v>
      </c>
      <c r="C62" s="20">
        <v>9.0</v>
      </c>
      <c r="D62" s="26">
        <v>61.0</v>
      </c>
      <c r="E62" s="34">
        <f>A63/31</f>
        <v>7826.225806</v>
      </c>
      <c r="F62" s="34">
        <f t="shared" si="7"/>
        <v>0.4827586207</v>
      </c>
      <c r="G62" s="35">
        <f t="shared" si="8"/>
        <v>7568.090637</v>
      </c>
      <c r="H62" s="32"/>
      <c r="I62" s="34">
        <f t="shared" si="1"/>
        <v>9</v>
      </c>
      <c r="J62" s="32"/>
      <c r="K62" s="27"/>
      <c r="L62" s="9">
        <f t="shared" si="3"/>
        <v>43539.86612</v>
      </c>
      <c r="M62" s="27"/>
      <c r="N62" s="18"/>
      <c r="O62" s="18"/>
      <c r="P62" s="18"/>
      <c r="Q62" s="18"/>
      <c r="R62" s="18"/>
      <c r="S62" s="18"/>
      <c r="T62" s="18"/>
      <c r="U62" s="18"/>
      <c r="V62" s="18"/>
      <c r="W62" s="25"/>
      <c r="X62" s="25"/>
      <c r="Y62" s="25"/>
      <c r="Z62" s="25"/>
    </row>
    <row r="63">
      <c r="A63" s="20">
        <v>242613.0</v>
      </c>
      <c r="B63" s="19">
        <v>40970.0</v>
      </c>
      <c r="C63" s="20">
        <v>9.0</v>
      </c>
      <c r="D63" s="26">
        <v>62.0</v>
      </c>
      <c r="E63" s="34">
        <f t="shared" ref="E63:E92" si="9">E62</f>
        <v>7826.225806</v>
      </c>
      <c r="F63" s="34">
        <f t="shared" si="7"/>
        <v>0.4482758621</v>
      </c>
      <c r="G63" s="35">
        <f t="shared" si="8"/>
        <v>7586.528863</v>
      </c>
      <c r="H63" s="32"/>
      <c r="I63" s="34">
        <f t="shared" si="1"/>
        <v>9</v>
      </c>
      <c r="J63" s="32"/>
      <c r="K63" s="27"/>
      <c r="L63" s="9">
        <f t="shared" si="3"/>
        <v>43539.86612</v>
      </c>
      <c r="M63" s="27"/>
      <c r="N63" s="18"/>
      <c r="O63" s="18"/>
      <c r="P63" s="18"/>
      <c r="Q63" s="18"/>
      <c r="R63" s="18"/>
      <c r="S63" s="18"/>
      <c r="T63" s="18"/>
      <c r="U63" s="18"/>
      <c r="V63" s="18"/>
      <c r="W63" s="25"/>
      <c r="X63" s="25"/>
      <c r="Y63" s="25"/>
      <c r="Z63" s="25"/>
    </row>
    <row r="64">
      <c r="A64" s="28"/>
      <c r="B64" s="19">
        <v>40971.0</v>
      </c>
      <c r="C64" s="20">
        <v>9.0</v>
      </c>
      <c r="D64" s="26">
        <v>63.0</v>
      </c>
      <c r="E64" s="34">
        <f t="shared" si="9"/>
        <v>7826.225806</v>
      </c>
      <c r="F64" s="34">
        <f t="shared" si="7"/>
        <v>0.4137931034</v>
      </c>
      <c r="G64" s="35">
        <f t="shared" si="8"/>
        <v>7604.96709</v>
      </c>
      <c r="H64" s="32"/>
      <c r="I64" s="34">
        <f t="shared" si="1"/>
        <v>9</v>
      </c>
      <c r="J64" s="32"/>
      <c r="K64" s="27"/>
      <c r="L64" s="9">
        <f t="shared" si="3"/>
        <v>43539.86612</v>
      </c>
      <c r="M64" s="27"/>
      <c r="N64" s="18"/>
      <c r="O64" s="18"/>
      <c r="P64" s="18"/>
      <c r="Q64" s="18"/>
      <c r="R64" s="18"/>
      <c r="S64" s="18"/>
      <c r="T64" s="18"/>
      <c r="U64" s="18"/>
      <c r="V64" s="18"/>
      <c r="W64" s="25"/>
      <c r="X64" s="25"/>
      <c r="Y64" s="25"/>
      <c r="Z64" s="25"/>
    </row>
    <row r="65">
      <c r="A65" s="28"/>
      <c r="B65" s="19">
        <v>40972.0</v>
      </c>
      <c r="C65" s="20">
        <v>10.0</v>
      </c>
      <c r="D65" s="26">
        <v>64.0</v>
      </c>
      <c r="E65" s="34">
        <f t="shared" si="9"/>
        <v>7826.225806</v>
      </c>
      <c r="F65" s="34">
        <f t="shared" si="7"/>
        <v>0.3793103448</v>
      </c>
      <c r="G65" s="35">
        <f t="shared" si="8"/>
        <v>7623.405316</v>
      </c>
      <c r="H65" s="32"/>
      <c r="I65" s="34">
        <f t="shared" si="1"/>
        <v>10</v>
      </c>
      <c r="J65" s="35">
        <f>SUM(G65:G71)</f>
        <v>53751.03997</v>
      </c>
      <c r="K65" s="24">
        <v>53751.03997</v>
      </c>
      <c r="L65" s="9">
        <f t="shared" si="3"/>
        <v>43539.86612</v>
      </c>
      <c r="M65" s="24">
        <v>43539.86612</v>
      </c>
      <c r="N65" s="25">
        <v>13915.45804</v>
      </c>
      <c r="O65" s="25">
        <v>12677.09954</v>
      </c>
      <c r="P65" s="25">
        <v>3403.363168</v>
      </c>
      <c r="Q65" s="25">
        <v>22876.58493</v>
      </c>
      <c r="R65" s="18"/>
      <c r="S65" s="25">
        <v>11306.50463</v>
      </c>
      <c r="T65" s="25">
        <v>10145.68813</v>
      </c>
      <c r="U65" s="25">
        <v>2676.155196</v>
      </c>
      <c r="V65" s="25">
        <v>18707.71006</v>
      </c>
      <c r="W65" s="25">
        <v>2608.953413</v>
      </c>
      <c r="X65" s="25">
        <v>2531.411408</v>
      </c>
      <c r="Y65" s="25">
        <v>727.2079718</v>
      </c>
      <c r="Z65" s="25">
        <v>4168.874868</v>
      </c>
    </row>
    <row r="66">
      <c r="A66" s="28"/>
      <c r="B66" s="19">
        <v>40973.0</v>
      </c>
      <c r="C66" s="20">
        <v>10.0</v>
      </c>
      <c r="D66" s="26">
        <v>65.0</v>
      </c>
      <c r="E66" s="34">
        <f t="shared" si="9"/>
        <v>7826.225806</v>
      </c>
      <c r="F66" s="34">
        <f t="shared" si="7"/>
        <v>0.3448275862</v>
      </c>
      <c r="G66" s="35">
        <f t="shared" si="8"/>
        <v>7641.843543</v>
      </c>
      <c r="H66" s="32"/>
      <c r="I66" s="34">
        <f t="shared" si="1"/>
        <v>10</v>
      </c>
      <c r="J66" s="32"/>
      <c r="K66" s="27"/>
      <c r="L66" s="9">
        <f t="shared" si="3"/>
        <v>43539.86612</v>
      </c>
      <c r="M66" s="27"/>
      <c r="N66" s="18"/>
      <c r="O66" s="18"/>
      <c r="P66" s="18"/>
      <c r="Q66" s="18"/>
      <c r="R66" s="18"/>
      <c r="S66" s="18"/>
      <c r="T66" s="18"/>
      <c r="U66" s="18"/>
      <c r="V66" s="18"/>
      <c r="W66" s="25"/>
      <c r="X66" s="25"/>
      <c r="Y66" s="25"/>
      <c r="Z66" s="25"/>
    </row>
    <row r="67">
      <c r="A67" s="28"/>
      <c r="B67" s="19">
        <v>40974.0</v>
      </c>
      <c r="C67" s="20">
        <v>10.0</v>
      </c>
      <c r="D67" s="26">
        <v>66.0</v>
      </c>
      <c r="E67" s="34">
        <f t="shared" si="9"/>
        <v>7826.225806</v>
      </c>
      <c r="F67" s="34">
        <f t="shared" si="7"/>
        <v>0.3103448276</v>
      </c>
      <c r="G67" s="35">
        <f t="shared" si="8"/>
        <v>7660.281769</v>
      </c>
      <c r="H67" s="32"/>
      <c r="I67" s="34">
        <f t="shared" si="1"/>
        <v>10</v>
      </c>
      <c r="J67" s="32"/>
      <c r="K67" s="27"/>
      <c r="L67" s="9">
        <f t="shared" si="3"/>
        <v>43539.86612</v>
      </c>
      <c r="M67" s="27"/>
      <c r="N67" s="18"/>
      <c r="O67" s="18"/>
      <c r="P67" s="18"/>
      <c r="Q67" s="18"/>
      <c r="R67" s="18"/>
      <c r="S67" s="18"/>
      <c r="T67" s="18"/>
      <c r="U67" s="18"/>
      <c r="V67" s="18"/>
      <c r="W67" s="25"/>
      <c r="X67" s="25"/>
      <c r="Y67" s="25"/>
      <c r="Z67" s="25"/>
    </row>
    <row r="68">
      <c r="A68" s="28"/>
      <c r="B68" s="19">
        <v>40975.0</v>
      </c>
      <c r="C68" s="20">
        <v>10.0</v>
      </c>
      <c r="D68" s="26">
        <v>67.0</v>
      </c>
      <c r="E68" s="34">
        <f t="shared" si="9"/>
        <v>7826.225806</v>
      </c>
      <c r="F68" s="34">
        <f t="shared" si="7"/>
        <v>0.275862069</v>
      </c>
      <c r="G68" s="35">
        <f t="shared" si="8"/>
        <v>7678.719995</v>
      </c>
      <c r="H68" s="32"/>
      <c r="I68" s="34">
        <f t="shared" si="1"/>
        <v>10</v>
      </c>
      <c r="J68" s="32"/>
      <c r="K68" s="27"/>
      <c r="L68" s="9">
        <f t="shared" si="3"/>
        <v>43539.86612</v>
      </c>
      <c r="M68" s="27"/>
      <c r="N68" s="18"/>
      <c r="O68" s="18"/>
      <c r="P68" s="18"/>
      <c r="Q68" s="18"/>
      <c r="R68" s="18"/>
      <c r="S68" s="18"/>
      <c r="T68" s="18"/>
      <c r="U68" s="18"/>
      <c r="V68" s="18"/>
      <c r="W68" s="25"/>
      <c r="X68" s="25"/>
      <c r="Y68" s="25"/>
      <c r="Z68" s="25"/>
    </row>
    <row r="69">
      <c r="A69" s="28"/>
      <c r="B69" s="19">
        <v>40976.0</v>
      </c>
      <c r="C69" s="20">
        <v>10.0</v>
      </c>
      <c r="D69" s="26">
        <v>68.0</v>
      </c>
      <c r="E69" s="34">
        <f t="shared" si="9"/>
        <v>7826.225806</v>
      </c>
      <c r="F69" s="34">
        <f t="shared" si="7"/>
        <v>0.2413793103</v>
      </c>
      <c r="G69" s="35">
        <f t="shared" si="8"/>
        <v>7697.158222</v>
      </c>
      <c r="H69" s="32"/>
      <c r="I69" s="34">
        <f t="shared" si="1"/>
        <v>10</v>
      </c>
      <c r="J69" s="32"/>
      <c r="K69" s="27"/>
      <c r="L69" s="9">
        <f t="shared" si="3"/>
        <v>43539.86612</v>
      </c>
      <c r="M69" s="27"/>
      <c r="N69" s="18"/>
      <c r="O69" s="18"/>
      <c r="P69" s="18"/>
      <c r="Q69" s="18"/>
      <c r="R69" s="18"/>
      <c r="S69" s="18"/>
      <c r="T69" s="18"/>
      <c r="U69" s="18"/>
      <c r="V69" s="18"/>
      <c r="W69" s="25"/>
      <c r="X69" s="25"/>
      <c r="Y69" s="25"/>
      <c r="Z69" s="25"/>
    </row>
    <row r="70">
      <c r="A70" s="28"/>
      <c r="B70" s="19">
        <v>40977.0</v>
      </c>
      <c r="C70" s="20">
        <v>10.0</v>
      </c>
      <c r="D70" s="26">
        <v>69.0</v>
      </c>
      <c r="E70" s="34">
        <f t="shared" si="9"/>
        <v>7826.225806</v>
      </c>
      <c r="F70" s="34">
        <f t="shared" si="7"/>
        <v>0.2068965517</v>
      </c>
      <c r="G70" s="35">
        <f t="shared" si="8"/>
        <v>7715.596448</v>
      </c>
      <c r="H70" s="32"/>
      <c r="I70" s="34">
        <f t="shared" si="1"/>
        <v>10</v>
      </c>
      <c r="J70" s="32"/>
      <c r="K70" s="27"/>
      <c r="L70" s="9">
        <f t="shared" si="3"/>
        <v>43539.86612</v>
      </c>
      <c r="M70" s="27"/>
      <c r="N70" s="18"/>
      <c r="O70" s="18"/>
      <c r="P70" s="18"/>
      <c r="Q70" s="18"/>
      <c r="R70" s="18"/>
      <c r="S70" s="18"/>
      <c r="T70" s="18"/>
      <c r="U70" s="18"/>
      <c r="V70" s="18"/>
      <c r="W70" s="25"/>
      <c r="X70" s="25"/>
      <c r="Y70" s="25"/>
      <c r="Z70" s="25"/>
    </row>
    <row r="71">
      <c r="A71" s="28"/>
      <c r="B71" s="19">
        <v>40978.0</v>
      </c>
      <c r="C71" s="20">
        <v>10.0</v>
      </c>
      <c r="D71" s="26">
        <v>70.0</v>
      </c>
      <c r="E71" s="34">
        <f t="shared" si="9"/>
        <v>7826.225806</v>
      </c>
      <c r="F71" s="34">
        <f t="shared" si="7"/>
        <v>0.1724137931</v>
      </c>
      <c r="G71" s="35">
        <f t="shared" si="8"/>
        <v>7734.034675</v>
      </c>
      <c r="H71" s="32"/>
      <c r="I71" s="34">
        <f t="shared" si="1"/>
        <v>10</v>
      </c>
      <c r="J71" s="32"/>
      <c r="K71" s="27"/>
      <c r="L71" s="9">
        <f t="shared" si="3"/>
        <v>43539.86612</v>
      </c>
      <c r="M71" s="27"/>
      <c r="N71" s="18"/>
      <c r="O71" s="18"/>
      <c r="P71" s="18"/>
      <c r="Q71" s="18"/>
      <c r="R71" s="18"/>
      <c r="S71" s="18"/>
      <c r="T71" s="18"/>
      <c r="U71" s="18"/>
      <c r="V71" s="18"/>
      <c r="W71" s="25"/>
      <c r="X71" s="25"/>
      <c r="Y71" s="25"/>
      <c r="Z71" s="25"/>
    </row>
    <row r="72">
      <c r="A72" s="28"/>
      <c r="B72" s="19">
        <v>40979.0</v>
      </c>
      <c r="C72" s="20">
        <v>11.0</v>
      </c>
      <c r="D72" s="26">
        <v>71.0</v>
      </c>
      <c r="E72" s="34">
        <f t="shared" si="9"/>
        <v>7826.225806</v>
      </c>
      <c r="F72" s="34">
        <f t="shared" si="7"/>
        <v>0.1379310345</v>
      </c>
      <c r="G72" s="35">
        <f t="shared" si="8"/>
        <v>7752.472901</v>
      </c>
      <c r="H72" s="32"/>
      <c r="I72" s="34">
        <f t="shared" si="1"/>
        <v>11</v>
      </c>
      <c r="J72" s="35">
        <f>SUM(G72:G78)</f>
        <v>54547.35395</v>
      </c>
      <c r="K72" s="24">
        <v>54547.35395</v>
      </c>
      <c r="L72" s="9">
        <f t="shared" si="3"/>
        <v>43539.86612</v>
      </c>
      <c r="M72" s="24">
        <v>43539.86612</v>
      </c>
      <c r="N72" s="25">
        <v>14393.65405</v>
      </c>
      <c r="O72" s="25">
        <v>13440.90956</v>
      </c>
      <c r="P72" s="25">
        <v>3176.5409</v>
      </c>
      <c r="Q72" s="25">
        <v>24150.0047</v>
      </c>
      <c r="R72" s="18"/>
      <c r="S72" s="25">
        <v>11712.85417</v>
      </c>
      <c r="T72" s="25">
        <v>10751.22937</v>
      </c>
      <c r="U72" s="25">
        <v>2627.862151</v>
      </c>
      <c r="V72" s="25">
        <v>19785.53944</v>
      </c>
      <c r="W72" s="25">
        <v>2680.799876</v>
      </c>
      <c r="X72" s="25">
        <v>2689.680189</v>
      </c>
      <c r="Y72" s="25">
        <v>548.6787483</v>
      </c>
      <c r="Z72" s="25">
        <v>4364.465257</v>
      </c>
    </row>
    <row r="73">
      <c r="A73" s="28"/>
      <c r="B73" s="19">
        <v>40980.0</v>
      </c>
      <c r="C73" s="20">
        <v>11.0</v>
      </c>
      <c r="D73" s="26">
        <v>72.0</v>
      </c>
      <c r="E73" s="34">
        <f t="shared" si="9"/>
        <v>7826.225806</v>
      </c>
      <c r="F73" s="34">
        <f t="shared" si="7"/>
        <v>0.1034482759</v>
      </c>
      <c r="G73" s="35">
        <f t="shared" si="8"/>
        <v>7770.911127</v>
      </c>
      <c r="H73" s="32"/>
      <c r="I73" s="34">
        <f t="shared" si="1"/>
        <v>11</v>
      </c>
      <c r="J73" s="32"/>
      <c r="K73" s="27"/>
      <c r="L73" s="9">
        <f t="shared" si="3"/>
        <v>43539.86612</v>
      </c>
      <c r="M73" s="27"/>
      <c r="N73" s="18"/>
      <c r="O73" s="18"/>
      <c r="P73" s="18"/>
      <c r="Q73" s="18"/>
      <c r="R73" s="18"/>
      <c r="S73" s="18"/>
      <c r="T73" s="18"/>
      <c r="U73" s="18"/>
      <c r="V73" s="18"/>
      <c r="W73" s="25"/>
      <c r="X73" s="25"/>
      <c r="Y73" s="25"/>
      <c r="Z73" s="25"/>
    </row>
    <row r="74">
      <c r="A74" s="28"/>
      <c r="B74" s="19">
        <v>40981.0</v>
      </c>
      <c r="C74" s="20">
        <v>11.0</v>
      </c>
      <c r="D74" s="26">
        <v>73.0</v>
      </c>
      <c r="E74" s="34">
        <f t="shared" si="9"/>
        <v>7826.225806</v>
      </c>
      <c r="F74" s="34">
        <f t="shared" si="7"/>
        <v>0.06896551724</v>
      </c>
      <c r="G74" s="35">
        <f t="shared" si="8"/>
        <v>7789.349354</v>
      </c>
      <c r="H74" s="32"/>
      <c r="I74" s="34">
        <f t="shared" si="1"/>
        <v>11</v>
      </c>
      <c r="J74" s="32"/>
      <c r="K74" s="27"/>
      <c r="L74" s="9">
        <f t="shared" si="3"/>
        <v>43539.86612</v>
      </c>
      <c r="M74" s="27"/>
      <c r="N74" s="18"/>
      <c r="O74" s="18"/>
      <c r="P74" s="18"/>
      <c r="Q74" s="18"/>
      <c r="R74" s="18"/>
      <c r="S74" s="18"/>
      <c r="T74" s="18"/>
      <c r="U74" s="18"/>
      <c r="V74" s="18"/>
      <c r="W74" s="25"/>
      <c r="X74" s="25"/>
      <c r="Y74" s="25"/>
      <c r="Z74" s="25"/>
    </row>
    <row r="75">
      <c r="A75" s="28"/>
      <c r="B75" s="19">
        <v>40982.0</v>
      </c>
      <c r="C75" s="20">
        <v>11.0</v>
      </c>
      <c r="D75" s="26">
        <v>74.0</v>
      </c>
      <c r="E75" s="34">
        <f t="shared" si="9"/>
        <v>7826.225806</v>
      </c>
      <c r="F75" s="34">
        <f t="shared" si="7"/>
        <v>0.03448275862</v>
      </c>
      <c r="G75" s="35">
        <f t="shared" si="8"/>
        <v>7807.78758</v>
      </c>
      <c r="H75" s="32"/>
      <c r="I75" s="34">
        <f t="shared" si="1"/>
        <v>11</v>
      </c>
      <c r="J75" s="32"/>
      <c r="K75" s="27"/>
      <c r="L75" s="9">
        <f t="shared" si="3"/>
        <v>43539.86612</v>
      </c>
      <c r="M75" s="27"/>
      <c r="N75" s="18"/>
      <c r="O75" s="18"/>
      <c r="P75" s="18"/>
      <c r="Q75" s="18"/>
      <c r="R75" s="18"/>
      <c r="S75" s="18"/>
      <c r="T75" s="18"/>
      <c r="U75" s="18"/>
      <c r="V75" s="18"/>
      <c r="W75" s="25"/>
      <c r="X75" s="25"/>
      <c r="Y75" s="25"/>
      <c r="Z75" s="25"/>
    </row>
    <row r="76">
      <c r="A76" s="28"/>
      <c r="B76" s="19">
        <v>40983.0</v>
      </c>
      <c r="C76" s="20">
        <v>11.0</v>
      </c>
      <c r="D76" s="26">
        <v>75.0</v>
      </c>
      <c r="E76" s="34">
        <f t="shared" si="9"/>
        <v>7826.225806</v>
      </c>
      <c r="F76" s="34">
        <v>1.0</v>
      </c>
      <c r="G76" s="35">
        <f>E76</f>
        <v>7826.225806</v>
      </c>
      <c r="H76" s="32"/>
      <c r="I76" s="34">
        <f t="shared" si="1"/>
        <v>11</v>
      </c>
      <c r="J76" s="32"/>
      <c r="K76" s="27"/>
      <c r="L76" s="9">
        <f t="shared" si="3"/>
        <v>43539.86612</v>
      </c>
      <c r="M76" s="27"/>
      <c r="N76" s="18"/>
      <c r="O76" s="18"/>
      <c r="P76" s="18"/>
      <c r="Q76" s="18"/>
      <c r="R76" s="18"/>
      <c r="S76" s="18"/>
      <c r="T76" s="18"/>
      <c r="U76" s="18"/>
      <c r="V76" s="18"/>
      <c r="W76" s="25"/>
      <c r="X76" s="25"/>
      <c r="Y76" s="25"/>
      <c r="Z76" s="25"/>
    </row>
    <row r="77">
      <c r="A77" s="13"/>
      <c r="B77" s="19">
        <v>40984.0</v>
      </c>
      <c r="C77" s="20">
        <v>11.0</v>
      </c>
      <c r="D77" s="26">
        <v>76.0</v>
      </c>
      <c r="E77" s="34">
        <f t="shared" si="9"/>
        <v>7826.225806</v>
      </c>
      <c r="F77" s="34">
        <f t="shared" ref="F77:F106" si="10">abs((D77-106)/(106-75))</f>
        <v>0.9677419355</v>
      </c>
      <c r="G77" s="35">
        <f t="shared" ref="G77:G106" si="11">E62*F77+(1-F77)*E93</f>
        <v>7808.944329</v>
      </c>
      <c r="H77" s="32"/>
      <c r="I77" s="34">
        <f t="shared" si="1"/>
        <v>11</v>
      </c>
      <c r="J77" s="32"/>
      <c r="K77" s="27"/>
      <c r="L77" s="9">
        <f t="shared" si="3"/>
        <v>43539.86612</v>
      </c>
      <c r="M77" s="27"/>
      <c r="N77" s="18"/>
      <c r="O77" s="18"/>
      <c r="P77" s="18"/>
      <c r="Q77" s="18"/>
      <c r="R77" s="18"/>
      <c r="S77" s="18"/>
      <c r="T77" s="18"/>
      <c r="U77" s="18"/>
      <c r="V77" s="18"/>
      <c r="W77" s="25"/>
      <c r="X77" s="25"/>
      <c r="Y77" s="25"/>
      <c r="Z77" s="25"/>
    </row>
    <row r="78">
      <c r="A78" s="13"/>
      <c r="B78" s="19">
        <v>40985.0</v>
      </c>
      <c r="C78" s="20">
        <v>11.0</v>
      </c>
      <c r="D78" s="26">
        <v>77.0</v>
      </c>
      <c r="E78" s="34">
        <f t="shared" si="9"/>
        <v>7826.225806</v>
      </c>
      <c r="F78" s="34">
        <f t="shared" si="10"/>
        <v>0.935483871</v>
      </c>
      <c r="G78" s="35">
        <f t="shared" si="11"/>
        <v>7791.662851</v>
      </c>
      <c r="H78" s="32"/>
      <c r="I78" s="34">
        <f t="shared" si="1"/>
        <v>11</v>
      </c>
      <c r="J78" s="32"/>
      <c r="K78" s="27"/>
      <c r="L78" s="9">
        <f t="shared" si="3"/>
        <v>43539.86612</v>
      </c>
      <c r="M78" s="27"/>
      <c r="N78" s="18"/>
      <c r="O78" s="18"/>
      <c r="P78" s="18"/>
      <c r="Q78" s="18"/>
      <c r="R78" s="18"/>
      <c r="S78" s="18"/>
      <c r="T78" s="18"/>
      <c r="U78" s="18"/>
      <c r="V78" s="18"/>
      <c r="W78" s="25"/>
      <c r="X78" s="25"/>
      <c r="Y78" s="25"/>
      <c r="Z78" s="25"/>
    </row>
    <row r="79">
      <c r="A79" s="28"/>
      <c r="B79" s="19">
        <v>40986.0</v>
      </c>
      <c r="C79" s="20">
        <v>12.0</v>
      </c>
      <c r="D79" s="26">
        <v>78.0</v>
      </c>
      <c r="E79" s="34">
        <f t="shared" si="9"/>
        <v>7826.225806</v>
      </c>
      <c r="F79" s="34">
        <f t="shared" si="10"/>
        <v>0.9032258065</v>
      </c>
      <c r="G79" s="35">
        <f t="shared" si="11"/>
        <v>7774.381374</v>
      </c>
      <c r="H79" s="32"/>
      <c r="I79" s="34">
        <f t="shared" si="1"/>
        <v>12</v>
      </c>
      <c r="J79" s="35">
        <f>SUM(G79:G85)</f>
        <v>54057.75858</v>
      </c>
      <c r="K79" s="24">
        <v>54057.75858</v>
      </c>
      <c r="L79" s="9">
        <f t="shared" si="3"/>
        <v>43539.86612</v>
      </c>
      <c r="M79" s="24">
        <v>43539.86612</v>
      </c>
      <c r="N79" s="25">
        <v>14185.61797</v>
      </c>
      <c r="O79" s="25">
        <v>13010.64179</v>
      </c>
      <c r="P79" s="25">
        <v>3372.741517</v>
      </c>
      <c r="Q79" s="25">
        <v>22808.5849</v>
      </c>
      <c r="R79" s="18"/>
      <c r="S79" s="25">
        <v>11514.58442</v>
      </c>
      <c r="T79" s="25">
        <v>10751.72557</v>
      </c>
      <c r="U79" s="25">
        <v>2572.541803</v>
      </c>
      <c r="V79" s="25">
        <v>19815.05452</v>
      </c>
      <c r="W79" s="25">
        <v>2671.033547</v>
      </c>
      <c r="X79" s="25">
        <v>2258.916224</v>
      </c>
      <c r="Y79" s="25">
        <v>800.1997134</v>
      </c>
      <c r="Z79" s="25">
        <v>2993.530377</v>
      </c>
    </row>
    <row r="80">
      <c r="A80" s="28"/>
      <c r="B80" s="19">
        <v>40987.0</v>
      </c>
      <c r="C80" s="20">
        <v>12.0</v>
      </c>
      <c r="D80" s="26">
        <v>79.0</v>
      </c>
      <c r="E80" s="34">
        <f t="shared" si="9"/>
        <v>7826.225806</v>
      </c>
      <c r="F80" s="34">
        <f t="shared" si="10"/>
        <v>0.8709677419</v>
      </c>
      <c r="G80" s="35">
        <f t="shared" si="11"/>
        <v>7757.099896</v>
      </c>
      <c r="H80" s="32"/>
      <c r="I80" s="34">
        <f t="shared" si="1"/>
        <v>12</v>
      </c>
      <c r="J80" s="32"/>
      <c r="K80" s="27"/>
      <c r="L80" s="9">
        <f t="shared" si="3"/>
        <v>43539.86612</v>
      </c>
      <c r="M80" s="27"/>
      <c r="N80" s="18"/>
      <c r="O80" s="18"/>
      <c r="P80" s="18"/>
      <c r="Q80" s="18"/>
      <c r="R80" s="18"/>
      <c r="S80" s="18"/>
      <c r="T80" s="18"/>
      <c r="U80" s="18"/>
      <c r="V80" s="18"/>
      <c r="W80" s="25"/>
      <c r="X80" s="25"/>
      <c r="Y80" s="25"/>
      <c r="Z80" s="25"/>
    </row>
    <row r="81">
      <c r="A81" s="28"/>
      <c r="B81" s="19">
        <v>40988.0</v>
      </c>
      <c r="C81" s="20">
        <v>12.0</v>
      </c>
      <c r="D81" s="26">
        <v>80.0</v>
      </c>
      <c r="E81" s="34">
        <f t="shared" si="9"/>
        <v>7826.225806</v>
      </c>
      <c r="F81" s="34">
        <f t="shared" si="10"/>
        <v>0.8387096774</v>
      </c>
      <c r="G81" s="35">
        <f t="shared" si="11"/>
        <v>7739.818418</v>
      </c>
      <c r="H81" s="32"/>
      <c r="I81" s="34">
        <f t="shared" si="1"/>
        <v>12</v>
      </c>
      <c r="J81" s="32"/>
      <c r="K81" s="27"/>
      <c r="L81" s="9">
        <f t="shared" si="3"/>
        <v>43539.86612</v>
      </c>
      <c r="M81" s="27"/>
      <c r="N81" s="18"/>
      <c r="O81" s="18"/>
      <c r="P81" s="18"/>
      <c r="Q81" s="18"/>
      <c r="R81" s="18"/>
      <c r="S81" s="18"/>
      <c r="T81" s="18"/>
      <c r="U81" s="18"/>
      <c r="V81" s="18"/>
      <c r="W81" s="25"/>
      <c r="X81" s="25"/>
      <c r="Y81" s="25"/>
      <c r="Z81" s="25"/>
    </row>
    <row r="82">
      <c r="A82" s="28"/>
      <c r="B82" s="19">
        <v>40989.0</v>
      </c>
      <c r="C82" s="20">
        <v>12.0</v>
      </c>
      <c r="D82" s="26">
        <v>81.0</v>
      </c>
      <c r="E82" s="34">
        <f t="shared" si="9"/>
        <v>7826.225806</v>
      </c>
      <c r="F82" s="34">
        <f t="shared" si="10"/>
        <v>0.8064516129</v>
      </c>
      <c r="G82" s="35">
        <f t="shared" si="11"/>
        <v>7722.536941</v>
      </c>
      <c r="H82" s="32"/>
      <c r="I82" s="34">
        <f t="shared" si="1"/>
        <v>12</v>
      </c>
      <c r="J82" s="32"/>
      <c r="K82" s="27"/>
      <c r="L82" s="9">
        <f t="shared" si="3"/>
        <v>43539.86612</v>
      </c>
      <c r="M82" s="27"/>
      <c r="N82" s="18"/>
      <c r="O82" s="18"/>
      <c r="P82" s="18"/>
      <c r="Q82" s="18"/>
      <c r="R82" s="18"/>
      <c r="S82" s="18"/>
      <c r="T82" s="18"/>
      <c r="U82" s="18"/>
      <c r="V82" s="18"/>
      <c r="W82" s="25"/>
      <c r="X82" s="25"/>
      <c r="Y82" s="25"/>
      <c r="Z82" s="25"/>
    </row>
    <row r="83">
      <c r="A83" s="28"/>
      <c r="B83" s="19">
        <v>40990.0</v>
      </c>
      <c r="C83" s="20">
        <v>12.0</v>
      </c>
      <c r="D83" s="26">
        <v>82.0</v>
      </c>
      <c r="E83" s="34">
        <f t="shared" si="9"/>
        <v>7826.225806</v>
      </c>
      <c r="F83" s="34">
        <f t="shared" si="10"/>
        <v>0.7741935484</v>
      </c>
      <c r="G83" s="35">
        <f t="shared" si="11"/>
        <v>7705.255463</v>
      </c>
      <c r="H83" s="32"/>
      <c r="I83" s="34">
        <f t="shared" si="1"/>
        <v>12</v>
      </c>
      <c r="J83" s="32"/>
      <c r="K83" s="27"/>
      <c r="L83" s="9">
        <f t="shared" si="3"/>
        <v>43539.86612</v>
      </c>
      <c r="M83" s="27"/>
      <c r="N83" s="18"/>
      <c r="O83" s="18"/>
      <c r="P83" s="18"/>
      <c r="Q83" s="18"/>
      <c r="R83" s="18"/>
      <c r="S83" s="18"/>
      <c r="T83" s="18"/>
      <c r="U83" s="18"/>
      <c r="V83" s="18"/>
      <c r="W83" s="25"/>
      <c r="X83" s="25"/>
      <c r="Y83" s="25"/>
      <c r="Z83" s="25"/>
    </row>
    <row r="84">
      <c r="A84" s="28"/>
      <c r="B84" s="19">
        <v>40991.0</v>
      </c>
      <c r="C84" s="20">
        <v>12.0</v>
      </c>
      <c r="D84" s="26">
        <v>83.0</v>
      </c>
      <c r="E84" s="34">
        <f t="shared" si="9"/>
        <v>7826.225806</v>
      </c>
      <c r="F84" s="34">
        <f t="shared" si="10"/>
        <v>0.7419354839</v>
      </c>
      <c r="G84" s="35">
        <f t="shared" si="11"/>
        <v>7687.973985</v>
      </c>
      <c r="H84" s="32"/>
      <c r="I84" s="34">
        <f t="shared" si="1"/>
        <v>12</v>
      </c>
      <c r="J84" s="32"/>
      <c r="K84" s="27"/>
      <c r="L84" s="9">
        <f t="shared" si="3"/>
        <v>43539.86612</v>
      </c>
      <c r="M84" s="27"/>
      <c r="N84" s="18"/>
      <c r="O84" s="18"/>
      <c r="P84" s="18"/>
      <c r="Q84" s="18"/>
      <c r="R84" s="18"/>
      <c r="S84" s="18"/>
      <c r="T84" s="18"/>
      <c r="U84" s="18"/>
      <c r="V84" s="18"/>
      <c r="W84" s="25"/>
      <c r="X84" s="25"/>
      <c r="Y84" s="25"/>
      <c r="Z84" s="25"/>
    </row>
    <row r="85">
      <c r="A85" s="28"/>
      <c r="B85" s="19">
        <v>40992.0</v>
      </c>
      <c r="C85" s="20">
        <v>12.0</v>
      </c>
      <c r="D85" s="26">
        <v>84.0</v>
      </c>
      <c r="E85" s="34">
        <f t="shared" si="9"/>
        <v>7826.225806</v>
      </c>
      <c r="F85" s="34">
        <f t="shared" si="10"/>
        <v>0.7096774194</v>
      </c>
      <c r="G85" s="35">
        <f t="shared" si="11"/>
        <v>7670.692508</v>
      </c>
      <c r="H85" s="32"/>
      <c r="I85" s="34">
        <f t="shared" si="1"/>
        <v>12</v>
      </c>
      <c r="J85" s="32"/>
      <c r="K85" s="27"/>
      <c r="L85" s="9">
        <f t="shared" si="3"/>
        <v>43539.86612</v>
      </c>
      <c r="M85" s="27"/>
      <c r="N85" s="18"/>
      <c r="O85" s="18"/>
      <c r="P85" s="18"/>
      <c r="Q85" s="18"/>
      <c r="R85" s="18"/>
      <c r="S85" s="18"/>
      <c r="T85" s="18"/>
      <c r="U85" s="18"/>
      <c r="V85" s="18"/>
      <c r="W85" s="25"/>
      <c r="X85" s="25"/>
      <c r="Y85" s="25"/>
      <c r="Z85" s="25"/>
    </row>
    <row r="86">
      <c r="A86" s="28"/>
      <c r="B86" s="19">
        <v>40993.0</v>
      </c>
      <c r="C86" s="20">
        <v>13.0</v>
      </c>
      <c r="D86" s="26">
        <v>85.0</v>
      </c>
      <c r="E86" s="34">
        <f t="shared" si="9"/>
        <v>7826.225806</v>
      </c>
      <c r="F86" s="34">
        <f t="shared" si="10"/>
        <v>0.6774193548</v>
      </c>
      <c r="G86" s="35">
        <f t="shared" si="11"/>
        <v>7653.41103</v>
      </c>
      <c r="H86" s="32"/>
      <c r="I86" s="34">
        <f t="shared" si="1"/>
        <v>13</v>
      </c>
      <c r="J86" s="35">
        <f>SUM(G86:G92)</f>
        <v>53210.96618</v>
      </c>
      <c r="K86" s="24">
        <v>53210.96618</v>
      </c>
      <c r="L86" s="9">
        <f t="shared" si="3"/>
        <v>43539.86612</v>
      </c>
      <c r="M86" s="24">
        <v>43539.86612</v>
      </c>
      <c r="N86" s="25">
        <v>13900.59632</v>
      </c>
      <c r="O86" s="25">
        <v>12705.785</v>
      </c>
      <c r="P86" s="25">
        <v>3333.056851</v>
      </c>
      <c r="Q86" s="25">
        <v>22679.47878</v>
      </c>
      <c r="R86" s="18"/>
      <c r="S86" s="25">
        <v>11333.11902</v>
      </c>
      <c r="T86" s="25">
        <v>10477.257</v>
      </c>
      <c r="U86" s="25">
        <v>2711.445784</v>
      </c>
      <c r="V86" s="25">
        <v>18299.46272</v>
      </c>
      <c r="W86" s="25">
        <v>2567.477299</v>
      </c>
      <c r="X86" s="25">
        <v>2228.528002</v>
      </c>
      <c r="Y86" s="25">
        <v>621.6110678</v>
      </c>
      <c r="Z86" s="25">
        <v>4380.016059</v>
      </c>
    </row>
    <row r="87">
      <c r="A87" s="28"/>
      <c r="B87" s="19">
        <v>40994.0</v>
      </c>
      <c r="C87" s="20">
        <v>13.0</v>
      </c>
      <c r="D87" s="26">
        <v>86.0</v>
      </c>
      <c r="E87" s="34">
        <f t="shared" si="9"/>
        <v>7826.225806</v>
      </c>
      <c r="F87" s="34">
        <f t="shared" si="10"/>
        <v>0.6451612903</v>
      </c>
      <c r="G87" s="35">
        <f t="shared" si="11"/>
        <v>7636.129553</v>
      </c>
      <c r="H87" s="32"/>
      <c r="I87" s="34">
        <f t="shared" si="1"/>
        <v>13</v>
      </c>
      <c r="J87" s="32"/>
      <c r="K87" s="27"/>
      <c r="L87" s="9">
        <f t="shared" si="3"/>
        <v>43539.86612</v>
      </c>
      <c r="M87" s="27"/>
      <c r="N87" s="18"/>
      <c r="O87" s="18"/>
      <c r="P87" s="18"/>
      <c r="Q87" s="18"/>
      <c r="R87" s="18"/>
      <c r="S87" s="18"/>
      <c r="T87" s="18"/>
      <c r="U87" s="18"/>
      <c r="V87" s="18"/>
      <c r="W87" s="25"/>
      <c r="X87" s="25"/>
      <c r="Y87" s="25"/>
      <c r="Z87" s="25"/>
    </row>
    <row r="88">
      <c r="A88" s="28"/>
      <c r="B88" s="19">
        <v>40995.0</v>
      </c>
      <c r="C88" s="20">
        <v>13.0</v>
      </c>
      <c r="D88" s="26">
        <v>87.0</v>
      </c>
      <c r="E88" s="34">
        <f t="shared" si="9"/>
        <v>7826.225806</v>
      </c>
      <c r="F88" s="34">
        <f t="shared" si="10"/>
        <v>0.6129032258</v>
      </c>
      <c r="G88" s="35">
        <f t="shared" si="11"/>
        <v>7618.848075</v>
      </c>
      <c r="H88" s="32"/>
      <c r="I88" s="34">
        <f t="shared" si="1"/>
        <v>13</v>
      </c>
      <c r="J88" s="32"/>
      <c r="K88" s="27"/>
      <c r="L88" s="9">
        <f t="shared" si="3"/>
        <v>43539.86612</v>
      </c>
      <c r="M88" s="27"/>
      <c r="N88" s="18"/>
      <c r="O88" s="18"/>
      <c r="P88" s="18"/>
      <c r="Q88" s="18"/>
      <c r="R88" s="18"/>
      <c r="S88" s="18"/>
      <c r="T88" s="18"/>
      <c r="U88" s="18"/>
      <c r="V88" s="18"/>
      <c r="W88" s="25"/>
      <c r="X88" s="25"/>
      <c r="Y88" s="25"/>
      <c r="Z88" s="25"/>
    </row>
    <row r="89">
      <c r="A89" s="28"/>
      <c r="B89" s="19">
        <v>40996.0</v>
      </c>
      <c r="C89" s="20">
        <v>13.0</v>
      </c>
      <c r="D89" s="26">
        <v>88.0</v>
      </c>
      <c r="E89" s="34">
        <f t="shared" si="9"/>
        <v>7826.225806</v>
      </c>
      <c r="F89" s="34">
        <f t="shared" si="10"/>
        <v>0.5806451613</v>
      </c>
      <c r="G89" s="35">
        <f t="shared" si="11"/>
        <v>7601.566597</v>
      </c>
      <c r="H89" s="32"/>
      <c r="I89" s="34">
        <f t="shared" si="1"/>
        <v>13</v>
      </c>
      <c r="J89" s="32"/>
      <c r="K89" s="27"/>
      <c r="L89" s="9">
        <f t="shared" si="3"/>
        <v>43539.86612</v>
      </c>
      <c r="M89" s="27"/>
      <c r="N89" s="18"/>
      <c r="O89" s="18"/>
      <c r="P89" s="18"/>
      <c r="Q89" s="18"/>
      <c r="R89" s="18"/>
      <c r="S89" s="18"/>
      <c r="T89" s="18"/>
      <c r="U89" s="18"/>
      <c r="V89" s="18"/>
      <c r="W89" s="25"/>
      <c r="X89" s="25"/>
      <c r="Y89" s="25"/>
      <c r="Z89" s="25"/>
    </row>
    <row r="90">
      <c r="A90" s="28"/>
      <c r="B90" s="19">
        <v>40997.0</v>
      </c>
      <c r="C90" s="20">
        <v>13.0</v>
      </c>
      <c r="D90" s="26">
        <v>89.0</v>
      </c>
      <c r="E90" s="34">
        <f t="shared" si="9"/>
        <v>7826.225806</v>
      </c>
      <c r="F90" s="34">
        <f t="shared" si="10"/>
        <v>0.5483870968</v>
      </c>
      <c r="G90" s="35">
        <f t="shared" si="11"/>
        <v>7584.28512</v>
      </c>
      <c r="H90" s="32"/>
      <c r="I90" s="34">
        <f t="shared" si="1"/>
        <v>13</v>
      </c>
      <c r="J90" s="32"/>
      <c r="K90" s="27"/>
      <c r="L90" s="9">
        <f t="shared" si="3"/>
        <v>43539.86612</v>
      </c>
      <c r="M90" s="27"/>
      <c r="N90" s="18"/>
      <c r="O90" s="18"/>
      <c r="P90" s="18"/>
      <c r="Q90" s="18"/>
      <c r="R90" s="18"/>
      <c r="S90" s="18"/>
      <c r="T90" s="18"/>
      <c r="U90" s="18"/>
      <c r="V90" s="18"/>
      <c r="W90" s="25"/>
      <c r="X90" s="25"/>
      <c r="Y90" s="25"/>
      <c r="Z90" s="25"/>
    </row>
    <row r="91">
      <c r="A91" s="28"/>
      <c r="B91" s="19">
        <v>40998.0</v>
      </c>
      <c r="C91" s="20">
        <v>13.0</v>
      </c>
      <c r="D91" s="26">
        <v>90.0</v>
      </c>
      <c r="E91" s="34">
        <f t="shared" si="9"/>
        <v>7826.225806</v>
      </c>
      <c r="F91" s="34">
        <f t="shared" si="10"/>
        <v>0.5161290323</v>
      </c>
      <c r="G91" s="35">
        <f t="shared" si="11"/>
        <v>7567.003642</v>
      </c>
      <c r="H91" s="32"/>
      <c r="I91" s="34">
        <f t="shared" si="1"/>
        <v>13</v>
      </c>
      <c r="J91" s="32"/>
      <c r="K91" s="27"/>
      <c r="L91" s="9">
        <f t="shared" si="3"/>
        <v>43539.86612</v>
      </c>
      <c r="M91" s="27"/>
      <c r="N91" s="18"/>
      <c r="O91" s="18"/>
      <c r="P91" s="18"/>
      <c r="Q91" s="18"/>
      <c r="R91" s="18"/>
      <c r="S91" s="18"/>
      <c r="T91" s="18"/>
      <c r="U91" s="18"/>
      <c r="V91" s="18"/>
      <c r="W91" s="25"/>
      <c r="X91" s="25"/>
      <c r="Y91" s="25"/>
      <c r="Z91" s="25"/>
    </row>
    <row r="92">
      <c r="A92" s="28"/>
      <c r="B92" s="19">
        <v>40999.0</v>
      </c>
      <c r="C92" s="20">
        <v>13.0</v>
      </c>
      <c r="D92" s="26">
        <v>91.0</v>
      </c>
      <c r="E92" s="34">
        <f t="shared" si="9"/>
        <v>7826.225806</v>
      </c>
      <c r="F92" s="34">
        <f t="shared" si="10"/>
        <v>0.4838709677</v>
      </c>
      <c r="G92" s="35">
        <f t="shared" si="11"/>
        <v>7549.722164</v>
      </c>
      <c r="H92" s="32"/>
      <c r="I92" s="34">
        <f t="shared" si="1"/>
        <v>13</v>
      </c>
      <c r="J92" s="32"/>
      <c r="K92" s="27"/>
      <c r="L92" s="9">
        <f t="shared" si="3"/>
        <v>43539.86612</v>
      </c>
      <c r="M92" s="27"/>
      <c r="N92" s="18"/>
      <c r="O92" s="18"/>
      <c r="P92" s="18"/>
      <c r="Q92" s="18"/>
      <c r="R92" s="18"/>
      <c r="S92" s="18"/>
      <c r="T92" s="18"/>
      <c r="U92" s="18"/>
      <c r="V92" s="18"/>
      <c r="W92" s="25"/>
      <c r="X92" s="25"/>
      <c r="Y92" s="25"/>
      <c r="Z92" s="25"/>
    </row>
    <row r="93">
      <c r="A93" s="13" t="s">
        <v>67</v>
      </c>
      <c r="B93" s="19">
        <v>41000.0</v>
      </c>
      <c r="C93" s="20">
        <v>14.0</v>
      </c>
      <c r="D93" s="26">
        <v>92.0</v>
      </c>
      <c r="E93" s="34">
        <f>A94/30</f>
        <v>7290.5</v>
      </c>
      <c r="F93" s="34">
        <f t="shared" si="10"/>
        <v>0.4516129032</v>
      </c>
      <c r="G93" s="35">
        <f t="shared" si="11"/>
        <v>7532.440687</v>
      </c>
      <c r="H93" s="32"/>
      <c r="I93" s="34">
        <f t="shared" si="1"/>
        <v>14</v>
      </c>
      <c r="J93" s="35">
        <f>SUM(G93:G99)</f>
        <v>52364.17378</v>
      </c>
      <c r="K93" s="24">
        <v>52364.17378</v>
      </c>
      <c r="L93" s="9">
        <f t="shared" si="3"/>
        <v>43539.86612</v>
      </c>
      <c r="M93" s="24">
        <v>43539.86612</v>
      </c>
      <c r="N93" s="25">
        <v>14130.31596</v>
      </c>
      <c r="O93" s="25">
        <v>12470.70067</v>
      </c>
      <c r="P93" s="25">
        <v>3240.98257</v>
      </c>
      <c r="Q93" s="25">
        <v>23190.99105</v>
      </c>
      <c r="R93" s="18"/>
      <c r="S93" s="25">
        <v>11287.24919</v>
      </c>
      <c r="T93" s="25">
        <v>10505.44919</v>
      </c>
      <c r="U93" s="25">
        <v>2661.58316</v>
      </c>
      <c r="V93" s="25">
        <v>19512.94426</v>
      </c>
      <c r="W93" s="25">
        <v>2843.066768</v>
      </c>
      <c r="X93" s="25">
        <v>1965.251478</v>
      </c>
      <c r="Y93" s="25">
        <v>579.3994091</v>
      </c>
      <c r="Z93" s="25">
        <v>3678.046794</v>
      </c>
    </row>
    <row r="94">
      <c r="A94" s="20">
        <v>218715.0</v>
      </c>
      <c r="B94" s="19">
        <v>41001.0</v>
      </c>
      <c r="C94" s="20">
        <v>14.0</v>
      </c>
      <c r="D94" s="26">
        <v>93.0</v>
      </c>
      <c r="E94" s="34">
        <f t="shared" ref="E94:E122" si="12">E93</f>
        <v>7290.5</v>
      </c>
      <c r="F94" s="34">
        <f t="shared" si="10"/>
        <v>0.4193548387</v>
      </c>
      <c r="G94" s="35">
        <f t="shared" si="11"/>
        <v>7515.159209</v>
      </c>
      <c r="H94" s="32"/>
      <c r="I94" s="34">
        <f t="shared" si="1"/>
        <v>14</v>
      </c>
      <c r="J94" s="32"/>
      <c r="K94" s="27"/>
      <c r="L94" s="9">
        <f t="shared" si="3"/>
        <v>43539.86612</v>
      </c>
      <c r="M94" s="27"/>
      <c r="N94" s="18"/>
      <c r="O94" s="18"/>
      <c r="P94" s="18"/>
      <c r="Q94" s="18"/>
      <c r="R94" s="18"/>
      <c r="S94" s="18"/>
      <c r="T94" s="18"/>
      <c r="U94" s="18"/>
      <c r="V94" s="18"/>
      <c r="W94" s="25"/>
      <c r="X94" s="25"/>
      <c r="Y94" s="25"/>
      <c r="Z94" s="25"/>
    </row>
    <row r="95">
      <c r="A95" s="28"/>
      <c r="B95" s="19">
        <v>41002.0</v>
      </c>
      <c r="C95" s="20">
        <v>14.0</v>
      </c>
      <c r="D95" s="26">
        <v>94.0</v>
      </c>
      <c r="E95" s="34">
        <f t="shared" si="12"/>
        <v>7290.5</v>
      </c>
      <c r="F95" s="34">
        <f t="shared" si="10"/>
        <v>0.3870967742</v>
      </c>
      <c r="G95" s="35">
        <f t="shared" si="11"/>
        <v>7497.877732</v>
      </c>
      <c r="H95" s="32"/>
      <c r="I95" s="34">
        <f t="shared" si="1"/>
        <v>14</v>
      </c>
      <c r="J95" s="32"/>
      <c r="K95" s="27"/>
      <c r="L95" s="9">
        <f t="shared" si="3"/>
        <v>43539.86612</v>
      </c>
      <c r="M95" s="27"/>
      <c r="N95" s="18"/>
      <c r="O95" s="18"/>
      <c r="P95" s="18"/>
      <c r="Q95" s="18"/>
      <c r="R95" s="18"/>
      <c r="S95" s="18"/>
      <c r="T95" s="18"/>
      <c r="U95" s="18"/>
      <c r="V95" s="18"/>
      <c r="W95" s="25"/>
      <c r="X95" s="25"/>
      <c r="Y95" s="25"/>
      <c r="Z95" s="25"/>
    </row>
    <row r="96">
      <c r="A96" s="28"/>
      <c r="B96" s="19">
        <v>41003.0</v>
      </c>
      <c r="C96" s="20">
        <v>14.0</v>
      </c>
      <c r="D96" s="26">
        <v>95.0</v>
      </c>
      <c r="E96" s="34">
        <f t="shared" si="12"/>
        <v>7290.5</v>
      </c>
      <c r="F96" s="34">
        <f t="shared" si="10"/>
        <v>0.3548387097</v>
      </c>
      <c r="G96" s="35">
        <f t="shared" si="11"/>
        <v>7480.596254</v>
      </c>
      <c r="H96" s="32"/>
      <c r="I96" s="34">
        <f t="shared" si="1"/>
        <v>14</v>
      </c>
      <c r="J96" s="32"/>
      <c r="K96" s="27"/>
      <c r="L96" s="9">
        <f t="shared" si="3"/>
        <v>43539.86612</v>
      </c>
      <c r="M96" s="27"/>
      <c r="N96" s="18"/>
      <c r="O96" s="18"/>
      <c r="P96" s="18"/>
      <c r="Q96" s="18"/>
      <c r="R96" s="18"/>
      <c r="S96" s="18"/>
      <c r="T96" s="18"/>
      <c r="U96" s="18"/>
      <c r="V96" s="18"/>
      <c r="W96" s="25"/>
      <c r="X96" s="25"/>
      <c r="Y96" s="25"/>
      <c r="Z96" s="25"/>
    </row>
    <row r="97">
      <c r="A97" s="28"/>
      <c r="B97" s="19">
        <v>41004.0</v>
      </c>
      <c r="C97" s="20">
        <v>14.0</v>
      </c>
      <c r="D97" s="26">
        <v>96.0</v>
      </c>
      <c r="E97" s="34">
        <f t="shared" si="12"/>
        <v>7290.5</v>
      </c>
      <c r="F97" s="34">
        <f t="shared" si="10"/>
        <v>0.3225806452</v>
      </c>
      <c r="G97" s="35">
        <f t="shared" si="11"/>
        <v>7463.314776</v>
      </c>
      <c r="H97" s="32"/>
      <c r="I97" s="34">
        <f t="shared" si="1"/>
        <v>14</v>
      </c>
      <c r="J97" s="32"/>
      <c r="K97" s="27"/>
      <c r="L97" s="9">
        <f t="shared" si="3"/>
        <v>43539.86612</v>
      </c>
      <c r="M97" s="27"/>
      <c r="N97" s="18"/>
      <c r="O97" s="18"/>
      <c r="P97" s="18"/>
      <c r="Q97" s="18"/>
      <c r="R97" s="18"/>
      <c r="S97" s="18"/>
      <c r="T97" s="18"/>
      <c r="U97" s="18"/>
      <c r="V97" s="18"/>
      <c r="W97" s="25"/>
      <c r="X97" s="25"/>
      <c r="Y97" s="25"/>
      <c r="Z97" s="25"/>
    </row>
    <row r="98">
      <c r="A98" s="28"/>
      <c r="B98" s="19">
        <v>41005.0</v>
      </c>
      <c r="C98" s="20">
        <v>14.0</v>
      </c>
      <c r="D98" s="26">
        <v>97.0</v>
      </c>
      <c r="E98" s="34">
        <f t="shared" si="12"/>
        <v>7290.5</v>
      </c>
      <c r="F98" s="34">
        <f t="shared" si="10"/>
        <v>0.2903225806</v>
      </c>
      <c r="G98" s="35">
        <f t="shared" si="11"/>
        <v>7446.033299</v>
      </c>
      <c r="H98" s="32"/>
      <c r="I98" s="34">
        <f t="shared" si="1"/>
        <v>14</v>
      </c>
      <c r="J98" s="32"/>
      <c r="K98" s="27"/>
      <c r="L98" s="9">
        <f t="shared" si="3"/>
        <v>43539.86612</v>
      </c>
      <c r="M98" s="27"/>
      <c r="N98" s="18"/>
      <c r="O98" s="18"/>
      <c r="P98" s="18"/>
      <c r="Q98" s="18"/>
      <c r="R98" s="18"/>
      <c r="S98" s="18"/>
      <c r="T98" s="18"/>
      <c r="U98" s="18"/>
      <c r="V98" s="18"/>
      <c r="W98" s="25"/>
      <c r="X98" s="25"/>
      <c r="Y98" s="25"/>
      <c r="Z98" s="25"/>
    </row>
    <row r="99">
      <c r="A99" s="28"/>
      <c r="B99" s="19">
        <v>41006.0</v>
      </c>
      <c r="C99" s="20">
        <v>14.0</v>
      </c>
      <c r="D99" s="26">
        <v>98.0</v>
      </c>
      <c r="E99" s="34">
        <f t="shared" si="12"/>
        <v>7290.5</v>
      </c>
      <c r="F99" s="34">
        <f t="shared" si="10"/>
        <v>0.2580645161</v>
      </c>
      <c r="G99" s="35">
        <f t="shared" si="11"/>
        <v>7428.751821</v>
      </c>
      <c r="H99" s="32"/>
      <c r="I99" s="34">
        <f t="shared" si="1"/>
        <v>14</v>
      </c>
      <c r="J99" s="32"/>
      <c r="K99" s="27"/>
      <c r="L99" s="9">
        <f t="shared" si="3"/>
        <v>43539.86612</v>
      </c>
      <c r="M99" s="27"/>
      <c r="N99" s="18"/>
      <c r="O99" s="18"/>
      <c r="P99" s="18"/>
      <c r="Q99" s="18"/>
      <c r="R99" s="18"/>
      <c r="S99" s="18"/>
      <c r="T99" s="18"/>
      <c r="U99" s="18"/>
      <c r="V99" s="18"/>
      <c r="W99" s="25"/>
      <c r="X99" s="25"/>
      <c r="Y99" s="25"/>
      <c r="Z99" s="25"/>
    </row>
    <row r="100">
      <c r="A100" s="28"/>
      <c r="B100" s="19">
        <v>41007.0</v>
      </c>
      <c r="C100" s="20">
        <v>15.0</v>
      </c>
      <c r="D100" s="26">
        <v>99.0</v>
      </c>
      <c r="E100" s="34">
        <f t="shared" si="12"/>
        <v>7290.5</v>
      </c>
      <c r="F100" s="34">
        <f t="shared" si="10"/>
        <v>0.2258064516</v>
      </c>
      <c r="G100" s="35">
        <f t="shared" si="11"/>
        <v>7411.470343</v>
      </c>
      <c r="H100" s="32"/>
      <c r="I100" s="34">
        <f t="shared" si="1"/>
        <v>15</v>
      </c>
      <c r="J100" s="35">
        <f>SUM(G100:G106)</f>
        <v>51517.38137</v>
      </c>
      <c r="K100" s="24">
        <v>51517.38137</v>
      </c>
      <c r="L100" s="9">
        <f t="shared" si="3"/>
        <v>43539.86612</v>
      </c>
      <c r="M100" s="24">
        <v>43539.86612</v>
      </c>
      <c r="N100" s="25">
        <v>13743.43756</v>
      </c>
      <c r="O100" s="25">
        <v>12321.93842</v>
      </c>
      <c r="P100" s="25">
        <v>3173.637478</v>
      </c>
      <c r="Q100" s="25">
        <v>21984.63826</v>
      </c>
      <c r="R100" s="18"/>
      <c r="S100" s="25">
        <v>11482.41668</v>
      </c>
      <c r="T100" s="25">
        <v>10394.58306</v>
      </c>
      <c r="U100" s="25">
        <v>2695.504879</v>
      </c>
      <c r="V100" s="25">
        <v>19624.03148</v>
      </c>
      <c r="W100" s="25">
        <v>2261.020874</v>
      </c>
      <c r="X100" s="25">
        <v>1927.355361</v>
      </c>
      <c r="Y100" s="25">
        <v>478.1325996</v>
      </c>
      <c r="Z100" s="25">
        <v>2360.606785</v>
      </c>
    </row>
    <row r="101">
      <c r="A101" s="28"/>
      <c r="B101" s="19">
        <v>41008.0</v>
      </c>
      <c r="C101" s="20">
        <v>15.0</v>
      </c>
      <c r="D101" s="26">
        <v>100.0</v>
      </c>
      <c r="E101" s="34">
        <f t="shared" si="12"/>
        <v>7290.5</v>
      </c>
      <c r="F101" s="34">
        <f t="shared" si="10"/>
        <v>0.1935483871</v>
      </c>
      <c r="G101" s="35">
        <f t="shared" si="11"/>
        <v>7394.188866</v>
      </c>
      <c r="H101" s="32"/>
      <c r="I101" s="34">
        <f t="shared" si="1"/>
        <v>15</v>
      </c>
      <c r="J101" s="32"/>
      <c r="K101" s="27"/>
      <c r="L101" s="9">
        <f t="shared" si="3"/>
        <v>43539.86612</v>
      </c>
      <c r="M101" s="27"/>
      <c r="N101" s="18"/>
      <c r="O101" s="18"/>
      <c r="P101" s="18"/>
      <c r="Q101" s="18"/>
      <c r="R101" s="18"/>
      <c r="S101" s="18"/>
      <c r="T101" s="18"/>
      <c r="U101" s="18"/>
      <c r="V101" s="18"/>
      <c r="W101" s="25"/>
      <c r="X101" s="25"/>
      <c r="Y101" s="25"/>
      <c r="Z101" s="25"/>
    </row>
    <row r="102">
      <c r="A102" s="28"/>
      <c r="B102" s="19">
        <v>41009.0</v>
      </c>
      <c r="C102" s="20">
        <v>15.0</v>
      </c>
      <c r="D102" s="26">
        <v>101.0</v>
      </c>
      <c r="E102" s="34">
        <f t="shared" si="12"/>
        <v>7290.5</v>
      </c>
      <c r="F102" s="34">
        <f t="shared" si="10"/>
        <v>0.1612903226</v>
      </c>
      <c r="G102" s="35">
        <f t="shared" si="11"/>
        <v>7376.907388</v>
      </c>
      <c r="H102" s="32"/>
      <c r="I102" s="34">
        <f t="shared" si="1"/>
        <v>15</v>
      </c>
      <c r="J102" s="32"/>
      <c r="K102" s="27"/>
      <c r="L102" s="9">
        <f t="shared" si="3"/>
        <v>43539.86612</v>
      </c>
      <c r="M102" s="27"/>
      <c r="N102" s="18"/>
      <c r="O102" s="18"/>
      <c r="P102" s="18"/>
      <c r="Q102" s="18"/>
      <c r="R102" s="18"/>
      <c r="S102" s="18"/>
      <c r="T102" s="18"/>
      <c r="U102" s="18"/>
      <c r="V102" s="18"/>
      <c r="W102" s="25"/>
      <c r="X102" s="25"/>
      <c r="Y102" s="25"/>
      <c r="Z102" s="25"/>
    </row>
    <row r="103">
      <c r="A103" s="28"/>
      <c r="B103" s="19">
        <v>41010.0</v>
      </c>
      <c r="C103" s="20">
        <v>15.0</v>
      </c>
      <c r="D103" s="26">
        <v>102.0</v>
      </c>
      <c r="E103" s="34">
        <f t="shared" si="12"/>
        <v>7290.5</v>
      </c>
      <c r="F103" s="34">
        <f t="shared" si="10"/>
        <v>0.1290322581</v>
      </c>
      <c r="G103" s="35">
        <f t="shared" si="11"/>
        <v>7359.625911</v>
      </c>
      <c r="H103" s="32"/>
      <c r="I103" s="34">
        <f t="shared" si="1"/>
        <v>15</v>
      </c>
      <c r="J103" s="32"/>
      <c r="K103" s="27"/>
      <c r="L103" s="9">
        <f t="shared" si="3"/>
        <v>43539.86612</v>
      </c>
      <c r="M103" s="27"/>
      <c r="N103" s="18"/>
      <c r="O103" s="18"/>
      <c r="P103" s="18"/>
      <c r="Q103" s="18"/>
      <c r="R103" s="18"/>
      <c r="S103" s="18"/>
      <c r="T103" s="18"/>
      <c r="U103" s="18"/>
      <c r="V103" s="18"/>
      <c r="W103" s="25"/>
      <c r="X103" s="25"/>
      <c r="Y103" s="25"/>
      <c r="Z103" s="25"/>
    </row>
    <row r="104">
      <c r="A104" s="28"/>
      <c r="B104" s="19">
        <v>41011.0</v>
      </c>
      <c r="C104" s="20">
        <v>15.0</v>
      </c>
      <c r="D104" s="26">
        <v>103.0</v>
      </c>
      <c r="E104" s="34">
        <f t="shared" si="12"/>
        <v>7290.5</v>
      </c>
      <c r="F104" s="34">
        <f t="shared" si="10"/>
        <v>0.09677419355</v>
      </c>
      <c r="G104" s="35">
        <f t="shared" si="11"/>
        <v>7342.344433</v>
      </c>
      <c r="H104" s="32"/>
      <c r="I104" s="34">
        <f t="shared" si="1"/>
        <v>15</v>
      </c>
      <c r="J104" s="32"/>
      <c r="K104" s="27"/>
      <c r="L104" s="9">
        <f t="shared" si="3"/>
        <v>43539.86612</v>
      </c>
      <c r="M104" s="27"/>
      <c r="N104" s="18"/>
      <c r="O104" s="18"/>
      <c r="P104" s="18"/>
      <c r="Q104" s="18"/>
      <c r="R104" s="18"/>
      <c r="S104" s="18"/>
      <c r="T104" s="18"/>
      <c r="U104" s="18"/>
      <c r="V104" s="18"/>
      <c r="W104" s="25"/>
      <c r="X104" s="25"/>
      <c r="Y104" s="25"/>
      <c r="Z104" s="25"/>
    </row>
    <row r="105">
      <c r="A105" s="28"/>
      <c r="B105" s="19">
        <v>41012.0</v>
      </c>
      <c r="C105" s="20">
        <v>15.0</v>
      </c>
      <c r="D105" s="26">
        <v>104.0</v>
      </c>
      <c r="E105" s="34">
        <f t="shared" si="12"/>
        <v>7290.5</v>
      </c>
      <c r="F105" s="34">
        <f t="shared" si="10"/>
        <v>0.06451612903</v>
      </c>
      <c r="G105" s="35">
        <f t="shared" si="11"/>
        <v>7325.062955</v>
      </c>
      <c r="H105" s="32"/>
      <c r="I105" s="34">
        <f t="shared" si="1"/>
        <v>15</v>
      </c>
      <c r="J105" s="32"/>
      <c r="K105" s="27"/>
      <c r="L105" s="9">
        <f t="shared" si="3"/>
        <v>43539.86612</v>
      </c>
      <c r="M105" s="27"/>
      <c r="N105" s="18"/>
      <c r="O105" s="18"/>
      <c r="P105" s="18"/>
      <c r="Q105" s="18"/>
      <c r="R105" s="18"/>
      <c r="S105" s="18"/>
      <c r="T105" s="18"/>
      <c r="U105" s="18"/>
      <c r="V105" s="18"/>
      <c r="W105" s="25"/>
      <c r="X105" s="25"/>
      <c r="Y105" s="25"/>
      <c r="Z105" s="25"/>
    </row>
    <row r="106">
      <c r="A106" s="28"/>
      <c r="B106" s="19">
        <v>41013.0</v>
      </c>
      <c r="C106" s="20">
        <v>15.0</v>
      </c>
      <c r="D106" s="26">
        <v>105.0</v>
      </c>
      <c r="E106" s="34">
        <f t="shared" si="12"/>
        <v>7290.5</v>
      </c>
      <c r="F106" s="34">
        <f t="shared" si="10"/>
        <v>0.03225806452</v>
      </c>
      <c r="G106" s="35">
        <f t="shared" si="11"/>
        <v>7307.781478</v>
      </c>
      <c r="H106" s="32"/>
      <c r="I106" s="34">
        <f t="shared" si="1"/>
        <v>15</v>
      </c>
      <c r="J106" s="32"/>
      <c r="K106" s="27"/>
      <c r="L106" s="9">
        <f t="shared" si="3"/>
        <v>43539.86612</v>
      </c>
      <c r="M106" s="27"/>
      <c r="N106" s="18"/>
      <c r="O106" s="18"/>
      <c r="P106" s="18"/>
      <c r="Q106" s="18"/>
      <c r="R106" s="18"/>
      <c r="S106" s="18"/>
      <c r="T106" s="18"/>
      <c r="U106" s="18"/>
      <c r="V106" s="18"/>
      <c r="W106" s="25"/>
      <c r="X106" s="25"/>
      <c r="Y106" s="25"/>
      <c r="Z106" s="25"/>
    </row>
    <row r="107">
      <c r="A107" s="13"/>
      <c r="B107" s="19">
        <v>41014.0</v>
      </c>
      <c r="C107" s="20">
        <v>16.0</v>
      </c>
      <c r="D107" s="26">
        <v>106.0</v>
      </c>
      <c r="E107" s="34">
        <f t="shared" si="12"/>
        <v>7290.5</v>
      </c>
      <c r="F107" s="34">
        <v>1.0</v>
      </c>
      <c r="G107" s="35">
        <f>E107</f>
        <v>7290.5</v>
      </c>
      <c r="H107" s="32"/>
      <c r="I107" s="34">
        <f t="shared" si="1"/>
        <v>16</v>
      </c>
      <c r="J107" s="35">
        <f>SUM(G107:G113)</f>
        <v>50822.45</v>
      </c>
      <c r="K107" s="24">
        <v>50822.45</v>
      </c>
      <c r="L107" s="9">
        <f t="shared" si="3"/>
        <v>43539.86612</v>
      </c>
      <c r="M107" s="24">
        <v>43539.86612</v>
      </c>
      <c r="N107" s="25">
        <v>13526.41242</v>
      </c>
      <c r="O107" s="25">
        <v>12103.5839</v>
      </c>
      <c r="P107" s="25">
        <v>3064.033696</v>
      </c>
      <c r="Q107" s="25">
        <v>22647.06495</v>
      </c>
      <c r="R107" s="18"/>
      <c r="S107" s="25">
        <v>12054.18352</v>
      </c>
      <c r="T107" s="25">
        <v>10219.81621</v>
      </c>
      <c r="U107" s="25">
        <v>2769.876275</v>
      </c>
      <c r="V107" s="25">
        <v>18360.75146</v>
      </c>
      <c r="W107" s="25">
        <v>1472.228905</v>
      </c>
      <c r="X107" s="25">
        <v>1883.767696</v>
      </c>
      <c r="Y107" s="25">
        <v>294.1574212</v>
      </c>
      <c r="Z107" s="25">
        <v>4286.313494</v>
      </c>
    </row>
    <row r="108">
      <c r="A108" s="13"/>
      <c r="B108" s="19">
        <v>41015.0</v>
      </c>
      <c r="C108" s="20">
        <v>16.0</v>
      </c>
      <c r="D108" s="26">
        <v>107.0</v>
      </c>
      <c r="E108" s="34">
        <f t="shared" si="12"/>
        <v>7290.5</v>
      </c>
      <c r="F108" s="34">
        <f t="shared" ref="F108:F136" si="13">abs((D108-136)/(136-106))</f>
        <v>0.9666666667</v>
      </c>
      <c r="G108" s="35">
        <f t="shared" ref="G108:G122" si="14">E108*F108+(1-F108)*E123</f>
        <v>7280.45</v>
      </c>
      <c r="H108" s="32"/>
      <c r="I108" s="34">
        <f t="shared" si="1"/>
        <v>16</v>
      </c>
      <c r="J108" s="32"/>
      <c r="K108" s="27"/>
      <c r="L108" s="9">
        <f t="shared" si="3"/>
        <v>43539.86612</v>
      </c>
      <c r="M108" s="27"/>
      <c r="N108" s="18"/>
      <c r="O108" s="18"/>
      <c r="P108" s="18"/>
      <c r="Q108" s="18"/>
      <c r="R108" s="18"/>
      <c r="S108" s="18"/>
      <c r="T108" s="18"/>
      <c r="U108" s="18"/>
      <c r="V108" s="18"/>
      <c r="W108" s="25"/>
      <c r="X108" s="25"/>
      <c r="Y108" s="25"/>
      <c r="Z108" s="25"/>
    </row>
    <row r="109">
      <c r="A109" s="28"/>
      <c r="B109" s="19">
        <v>41016.0</v>
      </c>
      <c r="C109" s="20">
        <v>16.0</v>
      </c>
      <c r="D109" s="26">
        <v>108.0</v>
      </c>
      <c r="E109" s="34">
        <f t="shared" si="12"/>
        <v>7290.5</v>
      </c>
      <c r="F109" s="34">
        <f t="shared" si="13"/>
        <v>0.9333333333</v>
      </c>
      <c r="G109" s="35">
        <f t="shared" si="14"/>
        <v>7270.4</v>
      </c>
      <c r="H109" s="32"/>
      <c r="I109" s="34">
        <f t="shared" si="1"/>
        <v>16</v>
      </c>
      <c r="J109" s="32"/>
      <c r="K109" s="27"/>
      <c r="L109" s="9">
        <f t="shared" si="3"/>
        <v>43539.86612</v>
      </c>
      <c r="M109" s="27"/>
      <c r="N109" s="18"/>
      <c r="O109" s="18"/>
      <c r="P109" s="18"/>
      <c r="Q109" s="18"/>
      <c r="R109" s="18"/>
      <c r="S109" s="18"/>
      <c r="T109" s="18"/>
      <c r="U109" s="18"/>
      <c r="V109" s="18"/>
      <c r="W109" s="25"/>
      <c r="X109" s="25"/>
      <c r="Y109" s="25"/>
      <c r="Z109" s="25"/>
    </row>
    <row r="110">
      <c r="A110" s="28"/>
      <c r="B110" s="19">
        <v>41017.0</v>
      </c>
      <c r="C110" s="20">
        <v>16.0</v>
      </c>
      <c r="D110" s="26">
        <v>109.0</v>
      </c>
      <c r="E110" s="34">
        <f t="shared" si="12"/>
        <v>7290.5</v>
      </c>
      <c r="F110" s="34">
        <f t="shared" si="13"/>
        <v>0.9</v>
      </c>
      <c r="G110" s="35">
        <f t="shared" si="14"/>
        <v>7260.35</v>
      </c>
      <c r="H110" s="32"/>
      <c r="I110" s="34">
        <f t="shared" si="1"/>
        <v>16</v>
      </c>
      <c r="J110" s="32"/>
      <c r="K110" s="27"/>
      <c r="L110" s="9">
        <f t="shared" si="3"/>
        <v>43539.86612</v>
      </c>
      <c r="M110" s="27"/>
      <c r="N110" s="18"/>
      <c r="O110" s="18"/>
      <c r="P110" s="18"/>
      <c r="Q110" s="18"/>
      <c r="R110" s="18"/>
      <c r="S110" s="18"/>
      <c r="T110" s="18"/>
      <c r="U110" s="18"/>
      <c r="V110" s="18"/>
      <c r="W110" s="25"/>
      <c r="X110" s="25"/>
      <c r="Y110" s="25"/>
      <c r="Z110" s="25"/>
    </row>
    <row r="111">
      <c r="A111" s="28"/>
      <c r="B111" s="19">
        <v>41018.0</v>
      </c>
      <c r="C111" s="20">
        <v>16.0</v>
      </c>
      <c r="D111" s="26">
        <v>110.0</v>
      </c>
      <c r="E111" s="34">
        <f t="shared" si="12"/>
        <v>7290.5</v>
      </c>
      <c r="F111" s="34">
        <f t="shared" si="13"/>
        <v>0.8666666667</v>
      </c>
      <c r="G111" s="35">
        <f t="shared" si="14"/>
        <v>7250.3</v>
      </c>
      <c r="H111" s="32"/>
      <c r="I111" s="34">
        <f t="shared" si="1"/>
        <v>16</v>
      </c>
      <c r="J111" s="32"/>
      <c r="K111" s="27"/>
      <c r="L111" s="9">
        <f t="shared" si="3"/>
        <v>43539.86612</v>
      </c>
      <c r="M111" s="27"/>
      <c r="N111" s="18"/>
      <c r="O111" s="18"/>
      <c r="P111" s="18"/>
      <c r="Q111" s="18"/>
      <c r="R111" s="18"/>
      <c r="S111" s="18"/>
      <c r="T111" s="18"/>
      <c r="U111" s="18"/>
      <c r="V111" s="18"/>
      <c r="W111" s="25"/>
      <c r="X111" s="25"/>
      <c r="Y111" s="25"/>
      <c r="Z111" s="25"/>
    </row>
    <row r="112">
      <c r="A112" s="28"/>
      <c r="B112" s="19">
        <v>41019.0</v>
      </c>
      <c r="C112" s="20">
        <v>16.0</v>
      </c>
      <c r="D112" s="26">
        <v>111.0</v>
      </c>
      <c r="E112" s="34">
        <f t="shared" si="12"/>
        <v>7290.5</v>
      </c>
      <c r="F112" s="34">
        <f t="shared" si="13"/>
        <v>0.8333333333</v>
      </c>
      <c r="G112" s="35">
        <f t="shared" si="14"/>
        <v>7240.25</v>
      </c>
      <c r="H112" s="32"/>
      <c r="I112" s="34">
        <f t="shared" si="1"/>
        <v>16</v>
      </c>
      <c r="J112" s="32"/>
      <c r="K112" s="27"/>
      <c r="L112" s="9">
        <f t="shared" si="3"/>
        <v>43539.86612</v>
      </c>
      <c r="M112" s="27"/>
      <c r="N112" s="18"/>
      <c r="O112" s="18"/>
      <c r="P112" s="18"/>
      <c r="Q112" s="18"/>
      <c r="R112" s="18"/>
      <c r="S112" s="18"/>
      <c r="T112" s="18"/>
      <c r="U112" s="18"/>
      <c r="V112" s="18"/>
      <c r="W112" s="25"/>
      <c r="X112" s="25"/>
      <c r="Y112" s="25"/>
      <c r="Z112" s="25"/>
    </row>
    <row r="113">
      <c r="A113" s="28"/>
      <c r="B113" s="19">
        <v>41020.0</v>
      </c>
      <c r="C113" s="20">
        <v>16.0</v>
      </c>
      <c r="D113" s="26">
        <v>112.0</v>
      </c>
      <c r="E113" s="34">
        <f t="shared" si="12"/>
        <v>7290.5</v>
      </c>
      <c r="F113" s="34">
        <f t="shared" si="13"/>
        <v>0.8</v>
      </c>
      <c r="G113" s="35">
        <f t="shared" si="14"/>
        <v>7230.2</v>
      </c>
      <c r="H113" s="32"/>
      <c r="I113" s="34">
        <f t="shared" si="1"/>
        <v>16</v>
      </c>
      <c r="J113" s="32"/>
      <c r="K113" s="27"/>
      <c r="L113" s="9">
        <f t="shared" si="3"/>
        <v>43539.86612</v>
      </c>
      <c r="M113" s="27"/>
      <c r="N113" s="18"/>
      <c r="O113" s="18"/>
      <c r="P113" s="18"/>
      <c r="Q113" s="18"/>
      <c r="R113" s="18"/>
      <c r="S113" s="18"/>
      <c r="T113" s="18"/>
      <c r="U113" s="18"/>
      <c r="V113" s="18"/>
      <c r="W113" s="25"/>
      <c r="X113" s="25"/>
      <c r="Y113" s="25"/>
      <c r="Z113" s="25"/>
    </row>
    <row r="114">
      <c r="A114" s="28"/>
      <c r="B114" s="19">
        <v>41021.0</v>
      </c>
      <c r="C114" s="20">
        <v>17.0</v>
      </c>
      <c r="D114" s="26">
        <v>113.0</v>
      </c>
      <c r="E114" s="34">
        <f t="shared" si="12"/>
        <v>7290.5</v>
      </c>
      <c r="F114" s="34">
        <f t="shared" si="13"/>
        <v>0.7666666667</v>
      </c>
      <c r="G114" s="35">
        <f t="shared" si="14"/>
        <v>7220.15</v>
      </c>
      <c r="H114" s="32"/>
      <c r="I114" s="34">
        <f t="shared" si="1"/>
        <v>17</v>
      </c>
      <c r="J114" s="35">
        <f>SUM(G114:G120)</f>
        <v>50330</v>
      </c>
      <c r="K114" s="24">
        <v>50330.0</v>
      </c>
      <c r="L114" s="9">
        <f t="shared" si="3"/>
        <v>43539.86612</v>
      </c>
      <c r="M114" s="24">
        <v>43539.86612</v>
      </c>
      <c r="N114" s="25">
        <v>13394.79958</v>
      </c>
      <c r="O114" s="25">
        <v>11978.21583</v>
      </c>
      <c r="P114" s="25">
        <v>3019.677438</v>
      </c>
      <c r="Q114" s="25">
        <v>22856.1466</v>
      </c>
      <c r="R114" s="18"/>
      <c r="S114" s="25">
        <v>11857.70957</v>
      </c>
      <c r="T114" s="25">
        <v>10365.11241</v>
      </c>
      <c r="U114" s="25">
        <v>2710.787261</v>
      </c>
      <c r="V114" s="25">
        <v>18635.75058</v>
      </c>
      <c r="W114" s="25">
        <v>1537.090003</v>
      </c>
      <c r="X114" s="25">
        <v>1613.103426</v>
      </c>
      <c r="Y114" s="25">
        <v>308.8901767</v>
      </c>
      <c r="Z114" s="25">
        <v>4220.396022</v>
      </c>
    </row>
    <row r="115">
      <c r="A115" s="28"/>
      <c r="B115" s="19">
        <v>41022.0</v>
      </c>
      <c r="C115" s="20">
        <v>17.0</v>
      </c>
      <c r="D115" s="26">
        <v>114.0</v>
      </c>
      <c r="E115" s="34">
        <f t="shared" si="12"/>
        <v>7290.5</v>
      </c>
      <c r="F115" s="34">
        <f t="shared" si="13"/>
        <v>0.7333333333</v>
      </c>
      <c r="G115" s="35">
        <f t="shared" si="14"/>
        <v>7210.1</v>
      </c>
      <c r="H115" s="32"/>
      <c r="I115" s="34">
        <f t="shared" si="1"/>
        <v>17</v>
      </c>
      <c r="J115" s="32"/>
      <c r="K115" s="27"/>
      <c r="L115" s="9">
        <f t="shared" si="3"/>
        <v>43539.86612</v>
      </c>
      <c r="M115" s="27"/>
      <c r="N115" s="18"/>
      <c r="O115" s="18"/>
      <c r="P115" s="18"/>
      <c r="Q115" s="18"/>
      <c r="R115" s="18"/>
      <c r="S115" s="18"/>
      <c r="T115" s="18"/>
      <c r="U115" s="18"/>
      <c r="V115" s="18"/>
      <c r="W115" s="25"/>
      <c r="X115" s="25"/>
      <c r="Y115" s="25"/>
      <c r="Z115" s="25"/>
    </row>
    <row r="116">
      <c r="A116" s="28"/>
      <c r="B116" s="19">
        <v>41023.0</v>
      </c>
      <c r="C116" s="20">
        <v>17.0</v>
      </c>
      <c r="D116" s="26">
        <v>115.0</v>
      </c>
      <c r="E116" s="34">
        <f t="shared" si="12"/>
        <v>7290.5</v>
      </c>
      <c r="F116" s="34">
        <f t="shared" si="13"/>
        <v>0.7</v>
      </c>
      <c r="G116" s="35">
        <f t="shared" si="14"/>
        <v>7200.05</v>
      </c>
      <c r="H116" s="32"/>
      <c r="I116" s="34">
        <f t="shared" si="1"/>
        <v>17</v>
      </c>
      <c r="J116" s="32"/>
      <c r="K116" s="27"/>
      <c r="L116" s="9">
        <f t="shared" si="3"/>
        <v>43539.86612</v>
      </c>
      <c r="M116" s="27"/>
      <c r="N116" s="18"/>
      <c r="O116" s="18"/>
      <c r="P116" s="18"/>
      <c r="Q116" s="18"/>
      <c r="R116" s="18"/>
      <c r="S116" s="18"/>
      <c r="T116" s="18"/>
      <c r="U116" s="18"/>
      <c r="V116" s="18"/>
      <c r="W116" s="25"/>
      <c r="X116" s="25"/>
      <c r="Y116" s="25"/>
      <c r="Z116" s="25"/>
    </row>
    <row r="117">
      <c r="A117" s="28"/>
      <c r="B117" s="19">
        <v>41024.0</v>
      </c>
      <c r="C117" s="20">
        <v>17.0</v>
      </c>
      <c r="D117" s="26">
        <v>116.0</v>
      </c>
      <c r="E117" s="34">
        <f t="shared" si="12"/>
        <v>7290.5</v>
      </c>
      <c r="F117" s="34">
        <f t="shared" si="13"/>
        <v>0.6666666667</v>
      </c>
      <c r="G117" s="35">
        <f t="shared" si="14"/>
        <v>7190</v>
      </c>
      <c r="H117" s="32"/>
      <c r="I117" s="34">
        <f t="shared" si="1"/>
        <v>17</v>
      </c>
      <c r="J117" s="32"/>
      <c r="K117" s="27"/>
      <c r="L117" s="9">
        <f t="shared" si="3"/>
        <v>43539.86612</v>
      </c>
      <c r="M117" s="27"/>
      <c r="N117" s="18"/>
      <c r="O117" s="18"/>
      <c r="P117" s="18"/>
      <c r="Q117" s="18"/>
      <c r="R117" s="18"/>
      <c r="S117" s="18"/>
      <c r="T117" s="18"/>
      <c r="U117" s="18"/>
      <c r="V117" s="18"/>
      <c r="W117" s="25"/>
      <c r="X117" s="25"/>
      <c r="Y117" s="25"/>
      <c r="Z117" s="25"/>
    </row>
    <row r="118">
      <c r="A118" s="28"/>
      <c r="B118" s="19">
        <v>41025.0</v>
      </c>
      <c r="C118" s="20">
        <v>17.0</v>
      </c>
      <c r="D118" s="26">
        <v>117.0</v>
      </c>
      <c r="E118" s="34">
        <f t="shared" si="12"/>
        <v>7290.5</v>
      </c>
      <c r="F118" s="34">
        <f t="shared" si="13"/>
        <v>0.6333333333</v>
      </c>
      <c r="G118" s="35">
        <f t="shared" si="14"/>
        <v>7179.95</v>
      </c>
      <c r="H118" s="32"/>
      <c r="I118" s="34">
        <f t="shared" si="1"/>
        <v>17</v>
      </c>
      <c r="J118" s="32"/>
      <c r="K118" s="27"/>
      <c r="L118" s="9">
        <f t="shared" si="3"/>
        <v>43539.86612</v>
      </c>
      <c r="M118" s="27"/>
      <c r="N118" s="18"/>
      <c r="O118" s="18"/>
      <c r="P118" s="18"/>
      <c r="Q118" s="18"/>
      <c r="R118" s="18"/>
      <c r="S118" s="18"/>
      <c r="T118" s="18"/>
      <c r="U118" s="18"/>
      <c r="V118" s="18"/>
      <c r="W118" s="25"/>
      <c r="X118" s="25"/>
      <c r="Y118" s="25"/>
      <c r="Z118" s="25"/>
    </row>
    <row r="119">
      <c r="A119" s="28"/>
      <c r="B119" s="19">
        <v>41026.0</v>
      </c>
      <c r="C119" s="20">
        <v>17.0</v>
      </c>
      <c r="D119" s="26">
        <v>118.0</v>
      </c>
      <c r="E119" s="34">
        <f t="shared" si="12"/>
        <v>7290.5</v>
      </c>
      <c r="F119" s="34">
        <f t="shared" si="13"/>
        <v>0.6</v>
      </c>
      <c r="G119" s="35">
        <f t="shared" si="14"/>
        <v>7169.9</v>
      </c>
      <c r="H119" s="32"/>
      <c r="I119" s="34">
        <f t="shared" si="1"/>
        <v>17</v>
      </c>
      <c r="J119" s="32"/>
      <c r="K119" s="27"/>
      <c r="L119" s="9">
        <f t="shared" si="3"/>
        <v>43539.86612</v>
      </c>
      <c r="M119" s="27"/>
      <c r="N119" s="18"/>
      <c r="O119" s="18"/>
      <c r="P119" s="18"/>
      <c r="Q119" s="18"/>
      <c r="R119" s="18"/>
      <c r="S119" s="18"/>
      <c r="T119" s="18"/>
      <c r="U119" s="18"/>
      <c r="V119" s="18"/>
      <c r="W119" s="25"/>
      <c r="X119" s="25"/>
      <c r="Y119" s="25"/>
      <c r="Z119" s="25"/>
    </row>
    <row r="120">
      <c r="A120" s="28"/>
      <c r="B120" s="19">
        <v>41027.0</v>
      </c>
      <c r="C120" s="20">
        <v>17.0</v>
      </c>
      <c r="D120" s="26">
        <v>119.0</v>
      </c>
      <c r="E120" s="34">
        <f t="shared" si="12"/>
        <v>7290.5</v>
      </c>
      <c r="F120" s="34">
        <f t="shared" si="13"/>
        <v>0.5666666667</v>
      </c>
      <c r="G120" s="35">
        <f t="shared" si="14"/>
        <v>7159.85</v>
      </c>
      <c r="H120" s="32"/>
      <c r="I120" s="34">
        <f t="shared" si="1"/>
        <v>17</v>
      </c>
      <c r="J120" s="32"/>
      <c r="K120" s="27"/>
      <c r="L120" s="9">
        <f t="shared" si="3"/>
        <v>43539.86612</v>
      </c>
      <c r="M120" s="27"/>
      <c r="N120" s="18"/>
      <c r="O120" s="18"/>
      <c r="P120" s="18"/>
      <c r="Q120" s="18"/>
      <c r="R120" s="18"/>
      <c r="S120" s="18"/>
      <c r="T120" s="18"/>
      <c r="U120" s="18"/>
      <c r="V120" s="18"/>
      <c r="W120" s="25"/>
      <c r="X120" s="25"/>
      <c r="Y120" s="25"/>
      <c r="Z120" s="25"/>
    </row>
    <row r="121">
      <c r="A121" s="28"/>
      <c r="B121" s="19">
        <v>41028.0</v>
      </c>
      <c r="C121" s="20">
        <v>18.0</v>
      </c>
      <c r="D121" s="26">
        <v>120.0</v>
      </c>
      <c r="E121" s="34">
        <f t="shared" si="12"/>
        <v>7290.5</v>
      </c>
      <c r="F121" s="34">
        <f t="shared" si="13"/>
        <v>0.5333333333</v>
      </c>
      <c r="G121" s="35">
        <f t="shared" si="14"/>
        <v>7149.8</v>
      </c>
      <c r="H121" s="32"/>
      <c r="I121" s="34">
        <f t="shared" si="1"/>
        <v>18</v>
      </c>
      <c r="J121" s="35">
        <f>SUM(G121:G127)</f>
        <v>49837.55</v>
      </c>
      <c r="K121" s="24">
        <v>49837.55</v>
      </c>
      <c r="L121" s="9">
        <f t="shared" si="3"/>
        <v>43539.86612</v>
      </c>
      <c r="M121" s="24">
        <v>43539.86612</v>
      </c>
      <c r="N121" s="25">
        <v>13552.34128</v>
      </c>
      <c r="O121" s="25">
        <v>12341.47491</v>
      </c>
      <c r="P121" s="25">
        <v>2948.233337</v>
      </c>
      <c r="Q121" s="25">
        <v>20669.96569</v>
      </c>
      <c r="R121" s="18"/>
      <c r="S121" s="25">
        <v>11537.59822</v>
      </c>
      <c r="T121" s="25">
        <v>10487.59843</v>
      </c>
      <c r="U121" s="25">
        <v>2621.029077</v>
      </c>
      <c r="V121" s="25">
        <v>19412.78956</v>
      </c>
      <c r="W121" s="25">
        <v>2014.743056</v>
      </c>
      <c r="X121" s="25">
        <v>1853.876476</v>
      </c>
      <c r="Y121" s="25">
        <v>327.2042599</v>
      </c>
      <c r="Z121" s="25">
        <v>1257.176128</v>
      </c>
    </row>
    <row r="122">
      <c r="A122" s="28"/>
      <c r="B122" s="19">
        <v>41029.0</v>
      </c>
      <c r="C122" s="20">
        <v>18.0</v>
      </c>
      <c r="D122" s="26">
        <v>121.0</v>
      </c>
      <c r="E122" s="34">
        <f t="shared" si="12"/>
        <v>7290.5</v>
      </c>
      <c r="F122" s="34">
        <f t="shared" si="13"/>
        <v>0.5</v>
      </c>
      <c r="G122" s="35">
        <f t="shared" si="14"/>
        <v>7139.75</v>
      </c>
      <c r="H122" s="32"/>
      <c r="I122" s="34">
        <f t="shared" si="1"/>
        <v>18</v>
      </c>
      <c r="J122" s="32"/>
      <c r="K122" s="27"/>
      <c r="L122" s="9">
        <f t="shared" si="3"/>
        <v>43539.86612</v>
      </c>
      <c r="M122" s="27"/>
      <c r="N122" s="18"/>
      <c r="O122" s="18"/>
      <c r="P122" s="18"/>
      <c r="Q122" s="18"/>
      <c r="R122" s="18"/>
      <c r="S122" s="18"/>
      <c r="T122" s="18"/>
      <c r="U122" s="18"/>
      <c r="V122" s="18"/>
      <c r="W122" s="25"/>
      <c r="X122" s="25"/>
      <c r="Y122" s="25"/>
      <c r="Z122" s="25"/>
    </row>
    <row r="123">
      <c r="A123" s="13" t="s">
        <v>68</v>
      </c>
      <c r="B123" s="19">
        <v>41030.0</v>
      </c>
      <c r="C123" s="20">
        <v>18.0</v>
      </c>
      <c r="D123" s="26">
        <v>122.0</v>
      </c>
      <c r="E123" s="34">
        <f>A124/31</f>
        <v>6989</v>
      </c>
      <c r="F123" s="34">
        <f t="shared" si="13"/>
        <v>0.4666666667</v>
      </c>
      <c r="G123" s="35">
        <f t="shared" ref="G123:G136" si="15">E93*F123+(1-F123)*E123</f>
        <v>7129.7</v>
      </c>
      <c r="H123" s="32"/>
      <c r="I123" s="34">
        <f t="shared" si="1"/>
        <v>18</v>
      </c>
      <c r="J123" s="32"/>
      <c r="K123" s="27"/>
      <c r="L123" s="9">
        <f t="shared" si="3"/>
        <v>43539.86612</v>
      </c>
      <c r="M123" s="27"/>
      <c r="N123" s="18"/>
      <c r="O123" s="18"/>
      <c r="P123" s="18"/>
      <c r="Q123" s="18"/>
      <c r="R123" s="18"/>
      <c r="S123" s="18"/>
      <c r="T123" s="18"/>
      <c r="U123" s="18"/>
      <c r="V123" s="18"/>
      <c r="W123" s="25"/>
      <c r="X123" s="25"/>
      <c r="Y123" s="25"/>
      <c r="Z123" s="25"/>
    </row>
    <row r="124">
      <c r="A124" s="20">
        <v>216659.0</v>
      </c>
      <c r="B124" s="19">
        <v>41031.0</v>
      </c>
      <c r="C124" s="20">
        <v>18.0</v>
      </c>
      <c r="D124" s="26">
        <v>123.0</v>
      </c>
      <c r="E124" s="34">
        <f t="shared" ref="E124:E153" si="16">E123</f>
        <v>6989</v>
      </c>
      <c r="F124" s="34">
        <f t="shared" si="13"/>
        <v>0.4333333333</v>
      </c>
      <c r="G124" s="35">
        <f t="shared" si="15"/>
        <v>7119.65</v>
      </c>
      <c r="H124" s="32"/>
      <c r="I124" s="34">
        <f t="shared" si="1"/>
        <v>18</v>
      </c>
      <c r="J124" s="32"/>
      <c r="K124" s="27"/>
      <c r="L124" s="9">
        <f t="shared" si="3"/>
        <v>43539.86612</v>
      </c>
      <c r="M124" s="27"/>
      <c r="N124" s="18"/>
      <c r="O124" s="18"/>
      <c r="P124" s="18"/>
      <c r="Q124" s="18"/>
      <c r="R124" s="18"/>
      <c r="S124" s="18"/>
      <c r="T124" s="18"/>
      <c r="U124" s="18"/>
      <c r="V124" s="18"/>
      <c r="W124" s="25"/>
      <c r="X124" s="25"/>
      <c r="Y124" s="25"/>
      <c r="Z124" s="25"/>
    </row>
    <row r="125">
      <c r="A125" s="28"/>
      <c r="B125" s="19">
        <v>41032.0</v>
      </c>
      <c r="C125" s="20">
        <v>18.0</v>
      </c>
      <c r="D125" s="26">
        <v>124.0</v>
      </c>
      <c r="E125" s="34">
        <f t="shared" si="16"/>
        <v>6989</v>
      </c>
      <c r="F125" s="34">
        <f t="shared" si="13"/>
        <v>0.4</v>
      </c>
      <c r="G125" s="35">
        <f t="shared" si="15"/>
        <v>7109.6</v>
      </c>
      <c r="H125" s="32"/>
      <c r="I125" s="34">
        <f t="shared" si="1"/>
        <v>18</v>
      </c>
      <c r="J125" s="32"/>
      <c r="K125" s="27"/>
      <c r="L125" s="9">
        <f t="shared" si="3"/>
        <v>43539.86612</v>
      </c>
      <c r="M125" s="27"/>
      <c r="N125" s="18"/>
      <c r="O125" s="18"/>
      <c r="P125" s="18"/>
      <c r="Q125" s="18"/>
      <c r="R125" s="18"/>
      <c r="S125" s="18"/>
      <c r="T125" s="18"/>
      <c r="U125" s="18"/>
      <c r="V125" s="18"/>
      <c r="W125" s="25"/>
      <c r="X125" s="25"/>
      <c r="Y125" s="25"/>
      <c r="Z125" s="25"/>
    </row>
    <row r="126">
      <c r="A126" s="28"/>
      <c r="B126" s="19">
        <v>41033.0</v>
      </c>
      <c r="C126" s="20">
        <v>18.0</v>
      </c>
      <c r="D126" s="26">
        <v>125.0</v>
      </c>
      <c r="E126" s="34">
        <f t="shared" si="16"/>
        <v>6989</v>
      </c>
      <c r="F126" s="34">
        <f t="shared" si="13"/>
        <v>0.3666666667</v>
      </c>
      <c r="G126" s="35">
        <f t="shared" si="15"/>
        <v>7099.55</v>
      </c>
      <c r="H126" s="32"/>
      <c r="I126" s="34">
        <f t="shared" si="1"/>
        <v>18</v>
      </c>
      <c r="J126" s="32"/>
      <c r="K126" s="27"/>
      <c r="L126" s="9">
        <f t="shared" si="3"/>
        <v>43539.86612</v>
      </c>
      <c r="M126" s="27"/>
      <c r="N126" s="18"/>
      <c r="O126" s="18"/>
      <c r="P126" s="18"/>
      <c r="Q126" s="18"/>
      <c r="R126" s="18"/>
      <c r="S126" s="18"/>
      <c r="T126" s="18"/>
      <c r="U126" s="18"/>
      <c r="V126" s="18"/>
      <c r="W126" s="25"/>
      <c r="X126" s="25"/>
      <c r="Y126" s="25"/>
      <c r="Z126" s="25"/>
    </row>
    <row r="127">
      <c r="A127" s="28"/>
      <c r="B127" s="19">
        <v>41034.0</v>
      </c>
      <c r="C127" s="20">
        <v>18.0</v>
      </c>
      <c r="D127" s="26">
        <v>126.0</v>
      </c>
      <c r="E127" s="34">
        <f t="shared" si="16"/>
        <v>6989</v>
      </c>
      <c r="F127" s="34">
        <f t="shared" si="13"/>
        <v>0.3333333333</v>
      </c>
      <c r="G127" s="35">
        <f t="shared" si="15"/>
        <v>7089.5</v>
      </c>
      <c r="H127" s="32"/>
      <c r="I127" s="34">
        <f t="shared" si="1"/>
        <v>18</v>
      </c>
      <c r="J127" s="32"/>
      <c r="K127" s="27"/>
      <c r="L127" s="9">
        <f t="shared" si="3"/>
        <v>43539.86612</v>
      </c>
      <c r="M127" s="27"/>
      <c r="N127" s="18"/>
      <c r="O127" s="18"/>
      <c r="P127" s="18"/>
      <c r="Q127" s="18"/>
      <c r="R127" s="18"/>
      <c r="S127" s="18"/>
      <c r="T127" s="18"/>
      <c r="U127" s="18"/>
      <c r="V127" s="18"/>
      <c r="W127" s="25"/>
      <c r="X127" s="25"/>
      <c r="Y127" s="25"/>
      <c r="Z127" s="25"/>
    </row>
    <row r="128">
      <c r="A128" s="28"/>
      <c r="B128" s="19">
        <v>41035.0</v>
      </c>
      <c r="C128" s="20">
        <v>19.0</v>
      </c>
      <c r="D128" s="26">
        <v>127.0</v>
      </c>
      <c r="E128" s="34">
        <f t="shared" si="16"/>
        <v>6989</v>
      </c>
      <c r="F128" s="34">
        <f t="shared" si="13"/>
        <v>0.3</v>
      </c>
      <c r="G128" s="35">
        <f t="shared" si="15"/>
        <v>7079.45</v>
      </c>
      <c r="H128" s="32"/>
      <c r="I128" s="34">
        <f t="shared" si="1"/>
        <v>19</v>
      </c>
      <c r="J128" s="35">
        <f>SUM(G128:G134)</f>
        <v>49345.1</v>
      </c>
      <c r="K128" s="24">
        <v>49345.1</v>
      </c>
      <c r="L128" s="9">
        <f t="shared" si="3"/>
        <v>43539.86612</v>
      </c>
      <c r="M128" s="24">
        <v>43539.86612</v>
      </c>
      <c r="N128" s="25">
        <v>13269.85842</v>
      </c>
      <c r="O128" s="25">
        <v>12084.76221</v>
      </c>
      <c r="P128" s="25">
        <v>3102.188114</v>
      </c>
      <c r="Q128" s="25">
        <v>20740.68866</v>
      </c>
      <c r="R128" s="18"/>
      <c r="S128" s="25">
        <v>11030.32838</v>
      </c>
      <c r="T128" s="25">
        <v>10775.33434</v>
      </c>
      <c r="U128" s="25">
        <v>2566.201468</v>
      </c>
      <c r="V128" s="25">
        <v>19235.20909</v>
      </c>
      <c r="W128" s="25">
        <v>2239.530037</v>
      </c>
      <c r="X128" s="25">
        <v>1309.427869</v>
      </c>
      <c r="Y128" s="25">
        <v>535.986646</v>
      </c>
      <c r="Z128" s="25">
        <v>1505.479569</v>
      </c>
    </row>
    <row r="129">
      <c r="A129" s="28"/>
      <c r="B129" s="19">
        <v>41036.0</v>
      </c>
      <c r="C129" s="20">
        <v>19.0</v>
      </c>
      <c r="D129" s="26">
        <v>128.0</v>
      </c>
      <c r="E129" s="34">
        <f t="shared" si="16"/>
        <v>6989</v>
      </c>
      <c r="F129" s="34">
        <f t="shared" si="13"/>
        <v>0.2666666667</v>
      </c>
      <c r="G129" s="35">
        <f t="shared" si="15"/>
        <v>7069.4</v>
      </c>
      <c r="H129" s="32"/>
      <c r="I129" s="34">
        <f t="shared" si="1"/>
        <v>19</v>
      </c>
      <c r="J129" s="32"/>
      <c r="K129" s="27"/>
      <c r="L129" s="9">
        <f t="shared" si="3"/>
        <v>43539.86612</v>
      </c>
      <c r="M129" s="27"/>
      <c r="N129" s="18"/>
      <c r="O129" s="18"/>
      <c r="P129" s="18"/>
      <c r="Q129" s="18"/>
      <c r="R129" s="18"/>
      <c r="S129" s="18"/>
      <c r="T129" s="18"/>
      <c r="U129" s="18"/>
      <c r="V129" s="18"/>
      <c r="W129" s="25"/>
      <c r="X129" s="25"/>
      <c r="Y129" s="25"/>
      <c r="Z129" s="25"/>
    </row>
    <row r="130">
      <c r="A130" s="28"/>
      <c r="B130" s="19">
        <v>41037.0</v>
      </c>
      <c r="C130" s="20">
        <v>19.0</v>
      </c>
      <c r="D130" s="26">
        <v>129.0</v>
      </c>
      <c r="E130" s="34">
        <f t="shared" si="16"/>
        <v>6989</v>
      </c>
      <c r="F130" s="34">
        <f t="shared" si="13"/>
        <v>0.2333333333</v>
      </c>
      <c r="G130" s="35">
        <f t="shared" si="15"/>
        <v>7059.35</v>
      </c>
      <c r="H130" s="32"/>
      <c r="I130" s="34">
        <f t="shared" si="1"/>
        <v>19</v>
      </c>
      <c r="J130" s="32"/>
      <c r="K130" s="27"/>
      <c r="L130" s="9">
        <f t="shared" si="3"/>
        <v>43539.86612</v>
      </c>
      <c r="M130" s="27"/>
      <c r="N130" s="18"/>
      <c r="O130" s="18"/>
      <c r="P130" s="18"/>
      <c r="Q130" s="18"/>
      <c r="R130" s="18"/>
      <c r="S130" s="18"/>
      <c r="T130" s="18"/>
      <c r="U130" s="18"/>
      <c r="V130" s="18"/>
      <c r="W130" s="25"/>
      <c r="X130" s="25"/>
      <c r="Y130" s="25"/>
      <c r="Z130" s="25"/>
    </row>
    <row r="131">
      <c r="A131" s="28"/>
      <c r="B131" s="19">
        <v>41038.0</v>
      </c>
      <c r="C131" s="20">
        <v>19.0</v>
      </c>
      <c r="D131" s="26">
        <v>130.0</v>
      </c>
      <c r="E131" s="34">
        <f t="shared" si="16"/>
        <v>6989</v>
      </c>
      <c r="F131" s="34">
        <f t="shared" si="13"/>
        <v>0.2</v>
      </c>
      <c r="G131" s="35">
        <f t="shared" si="15"/>
        <v>7049.3</v>
      </c>
      <c r="H131" s="32"/>
      <c r="I131" s="34">
        <f t="shared" si="1"/>
        <v>19</v>
      </c>
      <c r="J131" s="32"/>
      <c r="K131" s="27"/>
      <c r="L131" s="9">
        <f t="shared" si="3"/>
        <v>43539.86612</v>
      </c>
      <c r="M131" s="27"/>
      <c r="N131" s="18"/>
      <c r="O131" s="18"/>
      <c r="P131" s="18"/>
      <c r="Q131" s="18"/>
      <c r="R131" s="18"/>
      <c r="S131" s="18"/>
      <c r="T131" s="18"/>
      <c r="U131" s="18"/>
      <c r="V131" s="18"/>
      <c r="W131" s="25"/>
      <c r="X131" s="25"/>
      <c r="Y131" s="25"/>
      <c r="Z131" s="25"/>
    </row>
    <row r="132">
      <c r="A132" s="28"/>
      <c r="B132" s="19">
        <v>41039.0</v>
      </c>
      <c r="C132" s="20">
        <v>19.0</v>
      </c>
      <c r="D132" s="26">
        <v>131.0</v>
      </c>
      <c r="E132" s="34">
        <f t="shared" si="16"/>
        <v>6989</v>
      </c>
      <c r="F132" s="34">
        <f t="shared" si="13"/>
        <v>0.1666666667</v>
      </c>
      <c r="G132" s="35">
        <f t="shared" si="15"/>
        <v>7039.25</v>
      </c>
      <c r="H132" s="32"/>
      <c r="I132" s="34">
        <f t="shared" si="1"/>
        <v>19</v>
      </c>
      <c r="J132" s="32"/>
      <c r="K132" s="27"/>
      <c r="L132" s="9">
        <f t="shared" si="3"/>
        <v>43539.86612</v>
      </c>
      <c r="M132" s="27"/>
      <c r="N132" s="18"/>
      <c r="O132" s="18"/>
      <c r="P132" s="18"/>
      <c r="Q132" s="18"/>
      <c r="R132" s="18"/>
      <c r="S132" s="18"/>
      <c r="T132" s="18"/>
      <c r="U132" s="18"/>
      <c r="V132" s="18"/>
      <c r="W132" s="25"/>
      <c r="X132" s="25"/>
      <c r="Y132" s="25"/>
      <c r="Z132" s="25"/>
    </row>
    <row r="133">
      <c r="A133" s="28"/>
      <c r="B133" s="19">
        <v>41040.0</v>
      </c>
      <c r="C133" s="20">
        <v>19.0</v>
      </c>
      <c r="D133" s="26">
        <v>132.0</v>
      </c>
      <c r="E133" s="34">
        <f t="shared" si="16"/>
        <v>6989</v>
      </c>
      <c r="F133" s="34">
        <f t="shared" si="13"/>
        <v>0.1333333333</v>
      </c>
      <c r="G133" s="35">
        <f t="shared" si="15"/>
        <v>7029.2</v>
      </c>
      <c r="H133" s="32"/>
      <c r="I133" s="34">
        <f t="shared" si="1"/>
        <v>19</v>
      </c>
      <c r="J133" s="32"/>
      <c r="K133" s="27"/>
      <c r="L133" s="9">
        <f t="shared" si="3"/>
        <v>43539.86612</v>
      </c>
      <c r="M133" s="27"/>
      <c r="N133" s="18"/>
      <c r="O133" s="18"/>
      <c r="P133" s="18"/>
      <c r="Q133" s="18"/>
      <c r="R133" s="18"/>
      <c r="S133" s="18"/>
      <c r="T133" s="18"/>
      <c r="U133" s="18"/>
      <c r="V133" s="18"/>
      <c r="W133" s="25"/>
      <c r="X133" s="25"/>
      <c r="Y133" s="25"/>
      <c r="Z133" s="25"/>
    </row>
    <row r="134">
      <c r="A134" s="28"/>
      <c r="B134" s="19">
        <v>41041.0</v>
      </c>
      <c r="C134" s="20">
        <v>19.0</v>
      </c>
      <c r="D134" s="26">
        <v>133.0</v>
      </c>
      <c r="E134" s="34">
        <f t="shared" si="16"/>
        <v>6989</v>
      </c>
      <c r="F134" s="34">
        <f t="shared" si="13"/>
        <v>0.1</v>
      </c>
      <c r="G134" s="35">
        <f t="shared" si="15"/>
        <v>7019.15</v>
      </c>
      <c r="H134" s="32"/>
      <c r="I134" s="34">
        <f t="shared" si="1"/>
        <v>19</v>
      </c>
      <c r="J134" s="32"/>
      <c r="K134" s="27"/>
      <c r="L134" s="9">
        <f t="shared" si="3"/>
        <v>43539.86612</v>
      </c>
      <c r="M134" s="27"/>
      <c r="N134" s="18"/>
      <c r="O134" s="18"/>
      <c r="P134" s="18"/>
      <c r="Q134" s="18"/>
      <c r="R134" s="18"/>
      <c r="S134" s="18"/>
      <c r="T134" s="18"/>
      <c r="U134" s="18"/>
      <c r="V134" s="18"/>
      <c r="W134" s="25"/>
      <c r="X134" s="25"/>
      <c r="Y134" s="25"/>
      <c r="Z134" s="25"/>
    </row>
    <row r="135">
      <c r="A135" s="28"/>
      <c r="B135" s="19">
        <v>41042.0</v>
      </c>
      <c r="C135" s="20">
        <v>20.0</v>
      </c>
      <c r="D135" s="26">
        <v>134.0</v>
      </c>
      <c r="E135" s="34">
        <f t="shared" si="16"/>
        <v>6989</v>
      </c>
      <c r="F135" s="34">
        <f t="shared" si="13"/>
        <v>0.06666666667</v>
      </c>
      <c r="G135" s="35">
        <f t="shared" si="15"/>
        <v>7009.1</v>
      </c>
      <c r="H135" s="32"/>
      <c r="I135" s="34">
        <f t="shared" si="1"/>
        <v>20</v>
      </c>
      <c r="J135" s="35">
        <f>SUM(G135:G141)</f>
        <v>48793.58011</v>
      </c>
      <c r="K135" s="24">
        <v>48793.58011</v>
      </c>
      <c r="L135" s="9">
        <f t="shared" si="3"/>
        <v>43539.86612</v>
      </c>
      <c r="M135" s="24">
        <v>43539.86612</v>
      </c>
      <c r="N135" s="25">
        <v>12715.37152</v>
      </c>
      <c r="O135" s="25">
        <v>11136.49858</v>
      </c>
      <c r="P135" s="25">
        <v>2949.151343</v>
      </c>
      <c r="Q135" s="25">
        <v>20989.11577</v>
      </c>
      <c r="R135" s="18"/>
      <c r="S135" s="25">
        <v>12017.57359</v>
      </c>
      <c r="T135" s="25">
        <v>10030.55602</v>
      </c>
      <c r="U135" s="25">
        <v>2605.437092</v>
      </c>
      <c r="V135" s="25">
        <v>19546.66774</v>
      </c>
      <c r="W135" s="25">
        <v>697.7979318</v>
      </c>
      <c r="X135" s="25">
        <v>1105.942563</v>
      </c>
      <c r="Y135" s="25">
        <v>343.7142511</v>
      </c>
      <c r="Z135" s="25">
        <v>1442.448024</v>
      </c>
    </row>
    <row r="136">
      <c r="A136" s="28"/>
      <c r="B136" s="19">
        <v>41043.0</v>
      </c>
      <c r="C136" s="20">
        <v>20.0</v>
      </c>
      <c r="D136" s="26">
        <v>135.0</v>
      </c>
      <c r="E136" s="34">
        <f t="shared" si="16"/>
        <v>6989</v>
      </c>
      <c r="F136" s="34">
        <f t="shared" si="13"/>
        <v>0.03333333333</v>
      </c>
      <c r="G136" s="35">
        <f t="shared" si="15"/>
        <v>6999.05</v>
      </c>
      <c r="H136" s="32"/>
      <c r="I136" s="34">
        <f t="shared" si="1"/>
        <v>20</v>
      </c>
      <c r="J136" s="32"/>
      <c r="K136" s="27"/>
      <c r="L136" s="9">
        <f t="shared" si="3"/>
        <v>43539.86612</v>
      </c>
      <c r="M136" s="27"/>
      <c r="N136" s="18"/>
      <c r="O136" s="18"/>
      <c r="P136" s="18"/>
      <c r="Q136" s="18"/>
      <c r="R136" s="18"/>
      <c r="S136" s="18"/>
      <c r="T136" s="18"/>
      <c r="U136" s="18"/>
      <c r="V136" s="18"/>
      <c r="W136" s="25"/>
      <c r="X136" s="25"/>
      <c r="Y136" s="25"/>
      <c r="Z136" s="25"/>
    </row>
    <row r="137">
      <c r="A137" s="13"/>
      <c r="B137" s="19">
        <v>41044.0</v>
      </c>
      <c r="C137" s="20">
        <v>20.0</v>
      </c>
      <c r="D137" s="26">
        <v>136.0</v>
      </c>
      <c r="E137" s="34">
        <f t="shared" si="16"/>
        <v>6989</v>
      </c>
      <c r="F137" s="34">
        <v>1.0</v>
      </c>
      <c r="G137" s="35">
        <f>E137</f>
        <v>6989</v>
      </c>
      <c r="H137" s="32"/>
      <c r="I137" s="34">
        <f t="shared" si="1"/>
        <v>20</v>
      </c>
      <c r="J137" s="32"/>
      <c r="K137" s="27"/>
      <c r="L137" s="9">
        <f t="shared" si="3"/>
        <v>43539.86612</v>
      </c>
      <c r="M137" s="27"/>
      <c r="N137" s="18"/>
      <c r="O137" s="18"/>
      <c r="P137" s="18"/>
      <c r="Q137" s="18"/>
      <c r="R137" s="18"/>
      <c r="S137" s="18"/>
      <c r="T137" s="18"/>
      <c r="U137" s="18"/>
      <c r="V137" s="18"/>
      <c r="W137" s="25"/>
      <c r="X137" s="25"/>
      <c r="Y137" s="25"/>
      <c r="Z137" s="25"/>
    </row>
    <row r="138">
      <c r="A138" s="13"/>
      <c r="B138" s="19">
        <v>41045.0</v>
      </c>
      <c r="C138" s="20">
        <v>20.0</v>
      </c>
      <c r="D138" s="26">
        <v>137.0</v>
      </c>
      <c r="E138" s="34">
        <f t="shared" si="16"/>
        <v>6989</v>
      </c>
      <c r="F138" s="34">
        <f t="shared" ref="F138:F167" si="17">abs((D138-167)/(167-136))</f>
        <v>0.9677419355</v>
      </c>
      <c r="G138" s="35">
        <f t="shared" ref="G138:G167" si="18">E123*F138+(1-F138)*E154</f>
        <v>6973.043011</v>
      </c>
      <c r="H138" s="32"/>
      <c r="I138" s="34">
        <f t="shared" si="1"/>
        <v>20</v>
      </c>
      <c r="J138" s="32"/>
      <c r="K138" s="27"/>
      <c r="L138" s="9">
        <f t="shared" si="3"/>
        <v>43539.86612</v>
      </c>
      <c r="M138" s="27"/>
      <c r="N138" s="18"/>
      <c r="O138" s="18"/>
      <c r="P138" s="18"/>
      <c r="Q138" s="18"/>
      <c r="R138" s="18"/>
      <c r="S138" s="18"/>
      <c r="T138" s="18"/>
      <c r="U138" s="18"/>
      <c r="V138" s="18"/>
      <c r="W138" s="25"/>
      <c r="X138" s="25"/>
      <c r="Y138" s="25"/>
      <c r="Z138" s="25"/>
    </row>
    <row r="139">
      <c r="A139" s="28"/>
      <c r="B139" s="19">
        <v>41046.0</v>
      </c>
      <c r="C139" s="20">
        <v>20.0</v>
      </c>
      <c r="D139" s="26">
        <v>138.0</v>
      </c>
      <c r="E139" s="34">
        <f t="shared" si="16"/>
        <v>6989</v>
      </c>
      <c r="F139" s="34">
        <f t="shared" si="17"/>
        <v>0.935483871</v>
      </c>
      <c r="G139" s="35">
        <f t="shared" si="18"/>
        <v>6957.086022</v>
      </c>
      <c r="H139" s="32"/>
      <c r="I139" s="34">
        <f t="shared" si="1"/>
        <v>20</v>
      </c>
      <c r="J139" s="32"/>
      <c r="K139" s="27"/>
      <c r="L139" s="9">
        <f t="shared" si="3"/>
        <v>43539.86612</v>
      </c>
      <c r="M139" s="27"/>
      <c r="N139" s="18"/>
      <c r="O139" s="18"/>
      <c r="P139" s="18"/>
      <c r="Q139" s="18"/>
      <c r="R139" s="18"/>
      <c r="S139" s="18"/>
      <c r="T139" s="18"/>
      <c r="U139" s="18"/>
      <c r="V139" s="18"/>
      <c r="W139" s="25"/>
      <c r="X139" s="25"/>
      <c r="Y139" s="25"/>
      <c r="Z139" s="25"/>
    </row>
    <row r="140">
      <c r="A140" s="28"/>
      <c r="B140" s="19">
        <v>41047.0</v>
      </c>
      <c r="C140" s="20">
        <v>20.0</v>
      </c>
      <c r="D140" s="26">
        <v>139.0</v>
      </c>
      <c r="E140" s="34">
        <f t="shared" si="16"/>
        <v>6989</v>
      </c>
      <c r="F140" s="34">
        <f t="shared" si="17"/>
        <v>0.9032258065</v>
      </c>
      <c r="G140" s="35">
        <f t="shared" si="18"/>
        <v>6941.129032</v>
      </c>
      <c r="H140" s="32"/>
      <c r="I140" s="34">
        <f t="shared" si="1"/>
        <v>20</v>
      </c>
      <c r="J140" s="32"/>
      <c r="K140" s="27"/>
      <c r="L140" s="9">
        <f t="shared" si="3"/>
        <v>43539.86612</v>
      </c>
      <c r="M140" s="27"/>
      <c r="N140" s="18"/>
      <c r="O140" s="18"/>
      <c r="P140" s="18"/>
      <c r="Q140" s="18"/>
      <c r="R140" s="18"/>
      <c r="S140" s="18"/>
      <c r="T140" s="18"/>
      <c r="U140" s="18"/>
      <c r="V140" s="18"/>
      <c r="W140" s="25"/>
      <c r="X140" s="25"/>
      <c r="Y140" s="25"/>
      <c r="Z140" s="25"/>
    </row>
    <row r="141">
      <c r="A141" s="28"/>
      <c r="B141" s="19">
        <v>41048.0</v>
      </c>
      <c r="C141" s="20">
        <v>20.0</v>
      </c>
      <c r="D141" s="26">
        <v>140.0</v>
      </c>
      <c r="E141" s="34">
        <f t="shared" si="16"/>
        <v>6989</v>
      </c>
      <c r="F141" s="34">
        <f t="shared" si="17"/>
        <v>0.8709677419</v>
      </c>
      <c r="G141" s="35">
        <f t="shared" si="18"/>
        <v>6925.172043</v>
      </c>
      <c r="H141" s="32"/>
      <c r="I141" s="34">
        <f t="shared" si="1"/>
        <v>20</v>
      </c>
      <c r="J141" s="32"/>
      <c r="K141" s="27"/>
      <c r="L141" s="9">
        <f t="shared" si="3"/>
        <v>43539.86612</v>
      </c>
      <c r="M141" s="27"/>
      <c r="N141" s="18"/>
      <c r="O141" s="18"/>
      <c r="P141" s="18"/>
      <c r="Q141" s="18"/>
      <c r="R141" s="18"/>
      <c r="S141" s="18"/>
      <c r="T141" s="18"/>
      <c r="U141" s="18"/>
      <c r="V141" s="18"/>
      <c r="W141" s="25"/>
      <c r="X141" s="25"/>
      <c r="Y141" s="25"/>
      <c r="Z141" s="25"/>
    </row>
    <row r="142">
      <c r="A142" s="28"/>
      <c r="B142" s="19">
        <v>41049.0</v>
      </c>
      <c r="C142" s="20">
        <v>21.0</v>
      </c>
      <c r="D142" s="26">
        <v>141.0</v>
      </c>
      <c r="E142" s="34">
        <f t="shared" si="16"/>
        <v>6989</v>
      </c>
      <c r="F142" s="34">
        <f t="shared" si="17"/>
        <v>0.8387096774</v>
      </c>
      <c r="G142" s="35">
        <f t="shared" si="18"/>
        <v>6909.215054</v>
      </c>
      <c r="H142" s="32"/>
      <c r="I142" s="34">
        <f t="shared" si="1"/>
        <v>21</v>
      </c>
      <c r="J142" s="35">
        <f>SUM(G142:G148)</f>
        <v>48029.4086</v>
      </c>
      <c r="K142" s="24">
        <v>48029.4086</v>
      </c>
      <c r="L142" s="9">
        <f t="shared" si="3"/>
        <v>43539.86612</v>
      </c>
      <c r="M142" s="24">
        <v>43539.86612</v>
      </c>
      <c r="N142" s="25">
        <v>12674.44635</v>
      </c>
      <c r="O142" s="25">
        <v>11079.5257</v>
      </c>
      <c r="P142" s="25">
        <v>2821.670908</v>
      </c>
      <c r="Q142" s="25">
        <v>21592.76781</v>
      </c>
      <c r="R142" s="18"/>
      <c r="S142" s="25">
        <v>11169.78703</v>
      </c>
      <c r="T142" s="25">
        <v>10556.6873</v>
      </c>
      <c r="U142" s="25">
        <v>2516.978188</v>
      </c>
      <c r="V142" s="25">
        <v>19066.20198</v>
      </c>
      <c r="W142" s="25">
        <v>1504.659329</v>
      </c>
      <c r="X142" s="25">
        <v>522.8383989</v>
      </c>
      <c r="Y142" s="25">
        <v>304.6927198</v>
      </c>
      <c r="Z142" s="25">
        <v>2526.565835</v>
      </c>
    </row>
    <row r="143">
      <c r="A143" s="28"/>
      <c r="B143" s="19">
        <v>41050.0</v>
      </c>
      <c r="C143" s="20">
        <v>21.0</v>
      </c>
      <c r="D143" s="26">
        <v>142.0</v>
      </c>
      <c r="E143" s="34">
        <f t="shared" si="16"/>
        <v>6989</v>
      </c>
      <c r="F143" s="34">
        <f t="shared" si="17"/>
        <v>0.8064516129</v>
      </c>
      <c r="G143" s="35">
        <f t="shared" si="18"/>
        <v>6893.258065</v>
      </c>
      <c r="H143" s="32"/>
      <c r="I143" s="34">
        <f t="shared" si="1"/>
        <v>21</v>
      </c>
      <c r="J143" s="32"/>
      <c r="K143" s="27"/>
      <c r="L143" s="9">
        <f t="shared" si="3"/>
        <v>43539.86612</v>
      </c>
      <c r="M143" s="27"/>
      <c r="N143" s="18"/>
      <c r="O143" s="18"/>
      <c r="P143" s="18"/>
      <c r="Q143" s="18"/>
      <c r="R143" s="18"/>
      <c r="S143" s="18"/>
      <c r="T143" s="18"/>
      <c r="U143" s="18"/>
      <c r="V143" s="18"/>
      <c r="W143" s="25"/>
      <c r="X143" s="25"/>
      <c r="Y143" s="25"/>
      <c r="Z143" s="25"/>
    </row>
    <row r="144">
      <c r="A144" s="28"/>
      <c r="B144" s="19">
        <v>41051.0</v>
      </c>
      <c r="C144" s="20">
        <v>21.0</v>
      </c>
      <c r="D144" s="26">
        <v>143.0</v>
      </c>
      <c r="E144" s="34">
        <f t="shared" si="16"/>
        <v>6989</v>
      </c>
      <c r="F144" s="34">
        <f t="shared" si="17"/>
        <v>0.7741935484</v>
      </c>
      <c r="G144" s="35">
        <f t="shared" si="18"/>
        <v>6877.301075</v>
      </c>
      <c r="H144" s="32"/>
      <c r="I144" s="34">
        <f t="shared" si="1"/>
        <v>21</v>
      </c>
      <c r="J144" s="32"/>
      <c r="K144" s="27"/>
      <c r="L144" s="9">
        <f t="shared" si="3"/>
        <v>43539.86612</v>
      </c>
      <c r="M144" s="27"/>
      <c r="N144" s="18"/>
      <c r="O144" s="18"/>
      <c r="P144" s="18"/>
      <c r="Q144" s="18"/>
      <c r="R144" s="18"/>
      <c r="S144" s="18"/>
      <c r="T144" s="18"/>
      <c r="U144" s="18"/>
      <c r="V144" s="18"/>
      <c r="W144" s="25"/>
      <c r="X144" s="25"/>
      <c r="Y144" s="25"/>
      <c r="Z144" s="25"/>
    </row>
    <row r="145">
      <c r="A145" s="28"/>
      <c r="B145" s="19">
        <v>41052.0</v>
      </c>
      <c r="C145" s="20">
        <v>21.0</v>
      </c>
      <c r="D145" s="26">
        <v>144.0</v>
      </c>
      <c r="E145" s="34">
        <f t="shared" si="16"/>
        <v>6989</v>
      </c>
      <c r="F145" s="34">
        <f t="shared" si="17"/>
        <v>0.7419354839</v>
      </c>
      <c r="G145" s="35">
        <f t="shared" si="18"/>
        <v>6861.344086</v>
      </c>
      <c r="H145" s="32"/>
      <c r="I145" s="34">
        <f t="shared" si="1"/>
        <v>21</v>
      </c>
      <c r="J145" s="32"/>
      <c r="K145" s="27"/>
      <c r="L145" s="9">
        <f t="shared" si="3"/>
        <v>43539.86612</v>
      </c>
      <c r="M145" s="27"/>
      <c r="N145" s="18"/>
      <c r="O145" s="18"/>
      <c r="P145" s="18"/>
      <c r="Q145" s="18"/>
      <c r="R145" s="18"/>
      <c r="S145" s="18"/>
      <c r="T145" s="18"/>
      <c r="U145" s="18"/>
      <c r="V145" s="18"/>
      <c r="W145" s="25"/>
      <c r="X145" s="25"/>
      <c r="Y145" s="25"/>
      <c r="Z145" s="25"/>
    </row>
    <row r="146">
      <c r="A146" s="28"/>
      <c r="B146" s="19">
        <v>41053.0</v>
      </c>
      <c r="C146" s="20">
        <v>21.0</v>
      </c>
      <c r="D146" s="26">
        <v>145.0</v>
      </c>
      <c r="E146" s="34">
        <f t="shared" si="16"/>
        <v>6989</v>
      </c>
      <c r="F146" s="34">
        <f t="shared" si="17"/>
        <v>0.7096774194</v>
      </c>
      <c r="G146" s="35">
        <f t="shared" si="18"/>
        <v>6845.387097</v>
      </c>
      <c r="H146" s="32"/>
      <c r="I146" s="34">
        <f t="shared" si="1"/>
        <v>21</v>
      </c>
      <c r="J146" s="32"/>
      <c r="K146" s="27"/>
      <c r="L146" s="9">
        <f t="shared" si="3"/>
        <v>43539.86612</v>
      </c>
      <c r="M146" s="27"/>
      <c r="N146" s="18"/>
      <c r="O146" s="18"/>
      <c r="P146" s="18"/>
      <c r="Q146" s="18"/>
      <c r="R146" s="18"/>
      <c r="S146" s="18"/>
      <c r="T146" s="18"/>
      <c r="U146" s="18"/>
      <c r="V146" s="18"/>
      <c r="W146" s="25"/>
      <c r="X146" s="25"/>
      <c r="Y146" s="25"/>
      <c r="Z146" s="25"/>
    </row>
    <row r="147">
      <c r="A147" s="28"/>
      <c r="B147" s="19">
        <v>41054.0</v>
      </c>
      <c r="C147" s="20">
        <v>21.0</v>
      </c>
      <c r="D147" s="26">
        <v>146.0</v>
      </c>
      <c r="E147" s="34">
        <f t="shared" si="16"/>
        <v>6989</v>
      </c>
      <c r="F147" s="34">
        <f t="shared" si="17"/>
        <v>0.6774193548</v>
      </c>
      <c r="G147" s="35">
        <f t="shared" si="18"/>
        <v>6829.430108</v>
      </c>
      <c r="H147" s="32"/>
      <c r="I147" s="34">
        <f t="shared" si="1"/>
        <v>21</v>
      </c>
      <c r="J147" s="32"/>
      <c r="K147" s="27"/>
      <c r="L147" s="9">
        <f t="shared" si="3"/>
        <v>43539.86612</v>
      </c>
      <c r="M147" s="27"/>
      <c r="N147" s="18"/>
      <c r="O147" s="18"/>
      <c r="P147" s="18"/>
      <c r="Q147" s="18"/>
      <c r="R147" s="18"/>
      <c r="S147" s="18"/>
      <c r="T147" s="18"/>
      <c r="U147" s="18"/>
      <c r="V147" s="18"/>
      <c r="W147" s="25"/>
      <c r="X147" s="25"/>
      <c r="Y147" s="25"/>
      <c r="Z147" s="25"/>
    </row>
    <row r="148">
      <c r="A148" s="28"/>
      <c r="B148" s="19">
        <v>41055.0</v>
      </c>
      <c r="C148" s="20">
        <v>21.0</v>
      </c>
      <c r="D148" s="26">
        <v>147.0</v>
      </c>
      <c r="E148" s="34">
        <f t="shared" si="16"/>
        <v>6989</v>
      </c>
      <c r="F148" s="34">
        <f t="shared" si="17"/>
        <v>0.6451612903</v>
      </c>
      <c r="G148" s="35">
        <f t="shared" si="18"/>
        <v>6813.473118</v>
      </c>
      <c r="H148" s="32"/>
      <c r="I148" s="34">
        <f t="shared" si="1"/>
        <v>21</v>
      </c>
      <c r="J148" s="32"/>
      <c r="K148" s="27"/>
      <c r="L148" s="9">
        <f t="shared" si="3"/>
        <v>43539.86612</v>
      </c>
      <c r="M148" s="27"/>
      <c r="N148" s="18"/>
      <c r="O148" s="18"/>
      <c r="P148" s="18"/>
      <c r="Q148" s="18"/>
      <c r="R148" s="18"/>
      <c r="S148" s="18"/>
      <c r="T148" s="18"/>
      <c r="U148" s="18"/>
      <c r="V148" s="18"/>
      <c r="W148" s="25"/>
      <c r="X148" s="25"/>
      <c r="Y148" s="25"/>
      <c r="Z148" s="25"/>
    </row>
    <row r="149">
      <c r="A149" s="28"/>
      <c r="B149" s="19">
        <v>41056.0</v>
      </c>
      <c r="C149" s="20">
        <v>22.0</v>
      </c>
      <c r="D149" s="26">
        <v>148.0</v>
      </c>
      <c r="E149" s="34">
        <f t="shared" si="16"/>
        <v>6989</v>
      </c>
      <c r="F149" s="34">
        <f t="shared" si="17"/>
        <v>0.6129032258</v>
      </c>
      <c r="G149" s="35">
        <f t="shared" si="18"/>
        <v>6797.516129</v>
      </c>
      <c r="H149" s="32"/>
      <c r="I149" s="34">
        <f t="shared" si="1"/>
        <v>22</v>
      </c>
      <c r="J149" s="35">
        <f>SUM(G149:G155)</f>
        <v>47247.51613</v>
      </c>
      <c r="K149" s="24">
        <v>47247.51613</v>
      </c>
      <c r="L149" s="9">
        <f t="shared" si="3"/>
        <v>43539.86612</v>
      </c>
      <c r="M149" s="24">
        <v>43539.86612</v>
      </c>
      <c r="N149" s="25">
        <v>13171.00591</v>
      </c>
      <c r="O149" s="25">
        <v>11313.60805</v>
      </c>
      <c r="P149" s="25">
        <v>2936.678169</v>
      </c>
      <c r="Q149" s="25">
        <v>21344.79087</v>
      </c>
      <c r="R149" s="18"/>
      <c r="S149" s="25">
        <v>11288.30106</v>
      </c>
      <c r="T149" s="25">
        <v>10166.07309</v>
      </c>
      <c r="U149" s="25">
        <v>2661.741079</v>
      </c>
      <c r="V149" s="25">
        <v>19433.25229</v>
      </c>
      <c r="W149" s="25">
        <v>1882.704847</v>
      </c>
      <c r="X149" s="25">
        <v>1147.534967</v>
      </c>
      <c r="Y149" s="25">
        <v>274.9370904</v>
      </c>
      <c r="Z149" s="25">
        <v>1911.53858</v>
      </c>
    </row>
    <row r="150">
      <c r="A150" s="28"/>
      <c r="B150" s="19">
        <v>41057.0</v>
      </c>
      <c r="C150" s="20">
        <v>22.0</v>
      </c>
      <c r="D150" s="26">
        <v>149.0</v>
      </c>
      <c r="E150" s="34">
        <f t="shared" si="16"/>
        <v>6989</v>
      </c>
      <c r="F150" s="34">
        <f t="shared" si="17"/>
        <v>0.5806451613</v>
      </c>
      <c r="G150" s="35">
        <f t="shared" si="18"/>
        <v>6781.55914</v>
      </c>
      <c r="H150" s="32"/>
      <c r="I150" s="34">
        <f t="shared" si="1"/>
        <v>22</v>
      </c>
      <c r="J150" s="32"/>
      <c r="K150" s="27"/>
      <c r="L150" s="9">
        <f t="shared" si="3"/>
        <v>43539.86612</v>
      </c>
      <c r="M150" s="27"/>
      <c r="N150" s="18"/>
      <c r="O150" s="18"/>
      <c r="P150" s="18"/>
      <c r="Q150" s="18"/>
      <c r="R150" s="18"/>
      <c r="S150" s="18"/>
      <c r="T150" s="18"/>
      <c r="U150" s="18"/>
      <c r="V150" s="18"/>
      <c r="W150" s="25"/>
      <c r="X150" s="25"/>
      <c r="Y150" s="25"/>
      <c r="Z150" s="25"/>
    </row>
    <row r="151">
      <c r="A151" s="28"/>
      <c r="B151" s="19">
        <v>41058.0</v>
      </c>
      <c r="C151" s="20">
        <v>22.0</v>
      </c>
      <c r="D151" s="26">
        <v>150.0</v>
      </c>
      <c r="E151" s="34">
        <f t="shared" si="16"/>
        <v>6989</v>
      </c>
      <c r="F151" s="34">
        <f t="shared" si="17"/>
        <v>0.5483870968</v>
      </c>
      <c r="G151" s="35">
        <f t="shared" si="18"/>
        <v>6765.602151</v>
      </c>
      <c r="H151" s="32"/>
      <c r="I151" s="34">
        <f t="shared" si="1"/>
        <v>22</v>
      </c>
      <c r="J151" s="32"/>
      <c r="K151" s="27"/>
      <c r="L151" s="9">
        <f t="shared" si="3"/>
        <v>43539.86612</v>
      </c>
      <c r="M151" s="27"/>
      <c r="N151" s="18"/>
      <c r="O151" s="18"/>
      <c r="P151" s="18"/>
      <c r="Q151" s="18"/>
      <c r="R151" s="18"/>
      <c r="S151" s="18"/>
      <c r="T151" s="18"/>
      <c r="U151" s="18"/>
      <c r="V151" s="18"/>
      <c r="W151" s="25"/>
      <c r="X151" s="25"/>
      <c r="Y151" s="25"/>
      <c r="Z151" s="25"/>
    </row>
    <row r="152">
      <c r="A152" s="28"/>
      <c r="B152" s="19">
        <v>41059.0</v>
      </c>
      <c r="C152" s="20">
        <v>22.0</v>
      </c>
      <c r="D152" s="26">
        <v>151.0</v>
      </c>
      <c r="E152" s="34">
        <f t="shared" si="16"/>
        <v>6989</v>
      </c>
      <c r="F152" s="34">
        <f t="shared" si="17"/>
        <v>0.5161290323</v>
      </c>
      <c r="G152" s="35">
        <f t="shared" si="18"/>
        <v>6749.645161</v>
      </c>
      <c r="H152" s="32"/>
      <c r="I152" s="34">
        <f t="shared" si="1"/>
        <v>22</v>
      </c>
      <c r="J152" s="32"/>
      <c r="K152" s="27"/>
      <c r="L152" s="9">
        <f t="shared" si="3"/>
        <v>43539.86612</v>
      </c>
      <c r="M152" s="27"/>
      <c r="N152" s="18"/>
      <c r="O152" s="18"/>
      <c r="P152" s="18"/>
      <c r="Q152" s="18"/>
      <c r="R152" s="18"/>
      <c r="S152" s="18"/>
      <c r="T152" s="18"/>
      <c r="U152" s="18"/>
      <c r="V152" s="18"/>
      <c r="W152" s="25"/>
      <c r="X152" s="25"/>
      <c r="Y152" s="25"/>
      <c r="Z152" s="25"/>
    </row>
    <row r="153">
      <c r="A153" s="28"/>
      <c r="B153" s="19">
        <v>41060.0</v>
      </c>
      <c r="C153" s="20">
        <v>22.0</v>
      </c>
      <c r="D153" s="26">
        <v>152.0</v>
      </c>
      <c r="E153" s="34">
        <f t="shared" si="16"/>
        <v>6989</v>
      </c>
      <c r="F153" s="34">
        <f t="shared" si="17"/>
        <v>0.4838709677</v>
      </c>
      <c r="G153" s="35">
        <f t="shared" si="18"/>
        <v>6733.688172</v>
      </c>
      <c r="H153" s="32"/>
      <c r="I153" s="34">
        <f t="shared" si="1"/>
        <v>22</v>
      </c>
      <c r="J153" s="32"/>
      <c r="K153" s="27"/>
      <c r="L153" s="9">
        <f t="shared" si="3"/>
        <v>43539.86612</v>
      </c>
      <c r="M153" s="27"/>
      <c r="N153" s="18"/>
      <c r="O153" s="18"/>
      <c r="P153" s="18"/>
      <c r="Q153" s="18"/>
      <c r="R153" s="18"/>
      <c r="S153" s="18"/>
      <c r="T153" s="18"/>
      <c r="U153" s="18"/>
      <c r="V153" s="18"/>
      <c r="W153" s="25"/>
      <c r="X153" s="25"/>
      <c r="Y153" s="25"/>
      <c r="Z153" s="25"/>
    </row>
    <row r="154">
      <c r="A154" s="13" t="s">
        <v>69</v>
      </c>
      <c r="B154" s="19">
        <v>41061.0</v>
      </c>
      <c r="C154" s="20">
        <v>22.0</v>
      </c>
      <c r="D154" s="26">
        <v>153.0</v>
      </c>
      <c r="E154" s="34">
        <f>A155/30</f>
        <v>6494.333333</v>
      </c>
      <c r="F154" s="34">
        <f t="shared" si="17"/>
        <v>0.4516129032</v>
      </c>
      <c r="G154" s="35">
        <f t="shared" si="18"/>
        <v>6717.731183</v>
      </c>
      <c r="H154" s="32"/>
      <c r="I154" s="34">
        <f t="shared" si="1"/>
        <v>22</v>
      </c>
      <c r="J154" s="32"/>
      <c r="K154" s="27"/>
      <c r="L154" s="9">
        <f t="shared" si="3"/>
        <v>43539.86612</v>
      </c>
      <c r="M154" s="27"/>
      <c r="N154" s="18"/>
      <c r="O154" s="18"/>
      <c r="P154" s="18"/>
      <c r="Q154" s="18"/>
      <c r="R154" s="18"/>
      <c r="S154" s="18"/>
      <c r="T154" s="18"/>
      <c r="U154" s="18"/>
      <c r="V154" s="18"/>
      <c r="W154" s="25"/>
      <c r="X154" s="25"/>
      <c r="Y154" s="25"/>
      <c r="Z154" s="25"/>
    </row>
    <row r="155">
      <c r="A155" s="20">
        <v>194830.0</v>
      </c>
      <c r="B155" s="19">
        <v>41062.0</v>
      </c>
      <c r="C155" s="20">
        <v>22.0</v>
      </c>
      <c r="D155" s="26">
        <v>154.0</v>
      </c>
      <c r="E155" s="34">
        <f t="shared" ref="E155:E183" si="19">E154</f>
        <v>6494.333333</v>
      </c>
      <c r="F155" s="34">
        <f t="shared" si="17"/>
        <v>0.4193548387</v>
      </c>
      <c r="G155" s="35">
        <f t="shared" si="18"/>
        <v>6701.774194</v>
      </c>
      <c r="H155" s="32"/>
      <c r="I155" s="34">
        <f t="shared" si="1"/>
        <v>22</v>
      </c>
      <c r="J155" s="32"/>
      <c r="K155" s="27"/>
      <c r="L155" s="9">
        <f t="shared" si="3"/>
        <v>43539.86612</v>
      </c>
      <c r="M155" s="27"/>
      <c r="N155" s="18"/>
      <c r="O155" s="18"/>
      <c r="P155" s="18"/>
      <c r="Q155" s="18"/>
      <c r="R155" s="18"/>
      <c r="S155" s="18"/>
      <c r="T155" s="18"/>
      <c r="U155" s="18"/>
      <c r="V155" s="18"/>
      <c r="W155" s="25"/>
      <c r="X155" s="25"/>
      <c r="Y155" s="25"/>
      <c r="Z155" s="25"/>
    </row>
    <row r="156">
      <c r="A156" s="28"/>
      <c r="B156" s="19">
        <v>41063.0</v>
      </c>
      <c r="C156" s="20">
        <v>23.0</v>
      </c>
      <c r="D156" s="26">
        <v>155.0</v>
      </c>
      <c r="E156" s="34">
        <f t="shared" si="19"/>
        <v>6494.333333</v>
      </c>
      <c r="F156" s="34">
        <f t="shared" si="17"/>
        <v>0.3870967742</v>
      </c>
      <c r="G156" s="35">
        <f t="shared" si="18"/>
        <v>6685.817204</v>
      </c>
      <c r="H156" s="32"/>
      <c r="I156" s="34">
        <f t="shared" si="1"/>
        <v>23</v>
      </c>
      <c r="J156" s="35">
        <f>SUM(G156:G162)</f>
        <v>46465.62366</v>
      </c>
      <c r="K156" s="24">
        <v>46465.62366</v>
      </c>
      <c r="L156" s="9">
        <f t="shared" si="3"/>
        <v>43539.86612</v>
      </c>
      <c r="M156" s="24">
        <v>43539.86612</v>
      </c>
      <c r="N156" s="25">
        <v>12077.52333</v>
      </c>
      <c r="O156" s="25">
        <v>11524.31766</v>
      </c>
      <c r="P156" s="25">
        <v>2915.982721</v>
      </c>
      <c r="Q156" s="25">
        <v>20907.71247</v>
      </c>
      <c r="R156" s="18"/>
      <c r="S156" s="25">
        <v>11561.06751</v>
      </c>
      <c r="T156" s="25">
        <v>10811.40328</v>
      </c>
      <c r="U156" s="25">
        <v>2673.55911</v>
      </c>
      <c r="V156" s="25">
        <v>18389.68305</v>
      </c>
      <c r="W156" s="25">
        <v>516.4558208</v>
      </c>
      <c r="X156" s="25">
        <v>712.9143717</v>
      </c>
      <c r="Y156" s="25">
        <v>242.4236102</v>
      </c>
      <c r="Z156" s="25">
        <v>2518.029422</v>
      </c>
    </row>
    <row r="157">
      <c r="A157" s="28"/>
      <c r="B157" s="19">
        <v>41064.0</v>
      </c>
      <c r="C157" s="20">
        <v>23.0</v>
      </c>
      <c r="D157" s="26">
        <v>156.0</v>
      </c>
      <c r="E157" s="34">
        <f t="shared" si="19"/>
        <v>6494.333333</v>
      </c>
      <c r="F157" s="34">
        <f t="shared" si="17"/>
        <v>0.3548387097</v>
      </c>
      <c r="G157" s="35">
        <f t="shared" si="18"/>
        <v>6669.860215</v>
      </c>
      <c r="H157" s="32"/>
      <c r="I157" s="34">
        <f t="shared" si="1"/>
        <v>23</v>
      </c>
      <c r="J157" s="32"/>
      <c r="K157" s="27"/>
      <c r="L157" s="9">
        <f t="shared" si="3"/>
        <v>43539.86612</v>
      </c>
      <c r="M157" s="27"/>
      <c r="N157" s="18"/>
      <c r="O157" s="18"/>
      <c r="P157" s="18"/>
      <c r="Q157" s="18"/>
      <c r="R157" s="18"/>
      <c r="S157" s="18"/>
      <c r="T157" s="18"/>
      <c r="U157" s="18"/>
      <c r="V157" s="18"/>
      <c r="W157" s="25"/>
      <c r="X157" s="25"/>
      <c r="Y157" s="25"/>
      <c r="Z157" s="25"/>
    </row>
    <row r="158">
      <c r="A158" s="28"/>
      <c r="B158" s="19">
        <v>41065.0</v>
      </c>
      <c r="C158" s="20">
        <v>23.0</v>
      </c>
      <c r="D158" s="26">
        <v>157.0</v>
      </c>
      <c r="E158" s="34">
        <f t="shared" si="19"/>
        <v>6494.333333</v>
      </c>
      <c r="F158" s="34">
        <f t="shared" si="17"/>
        <v>0.3225806452</v>
      </c>
      <c r="G158" s="35">
        <f t="shared" si="18"/>
        <v>6653.903226</v>
      </c>
      <c r="H158" s="32"/>
      <c r="I158" s="34">
        <f t="shared" si="1"/>
        <v>23</v>
      </c>
      <c r="J158" s="32"/>
      <c r="K158" s="27"/>
      <c r="L158" s="9">
        <f t="shared" si="3"/>
        <v>43539.86612</v>
      </c>
      <c r="M158" s="27"/>
      <c r="N158" s="18"/>
      <c r="O158" s="18"/>
      <c r="P158" s="18"/>
      <c r="Q158" s="18"/>
      <c r="R158" s="18"/>
      <c r="S158" s="18"/>
      <c r="T158" s="18"/>
      <c r="U158" s="18"/>
      <c r="V158" s="18"/>
      <c r="W158" s="25"/>
      <c r="X158" s="25"/>
      <c r="Y158" s="25"/>
      <c r="Z158" s="25"/>
    </row>
    <row r="159">
      <c r="A159" s="28"/>
      <c r="B159" s="19">
        <v>41066.0</v>
      </c>
      <c r="C159" s="20">
        <v>23.0</v>
      </c>
      <c r="D159" s="26">
        <v>158.0</v>
      </c>
      <c r="E159" s="34">
        <f t="shared" si="19"/>
        <v>6494.333333</v>
      </c>
      <c r="F159" s="34">
        <f t="shared" si="17"/>
        <v>0.2903225806</v>
      </c>
      <c r="G159" s="35">
        <f t="shared" si="18"/>
        <v>6637.946237</v>
      </c>
      <c r="H159" s="32"/>
      <c r="I159" s="34">
        <f t="shared" si="1"/>
        <v>23</v>
      </c>
      <c r="J159" s="32"/>
      <c r="K159" s="27"/>
      <c r="L159" s="9">
        <f t="shared" si="3"/>
        <v>43539.86612</v>
      </c>
      <c r="M159" s="27"/>
      <c r="N159" s="18"/>
      <c r="O159" s="18"/>
      <c r="P159" s="18"/>
      <c r="Q159" s="18"/>
      <c r="R159" s="18"/>
      <c r="S159" s="18"/>
      <c r="T159" s="18"/>
      <c r="U159" s="18"/>
      <c r="V159" s="18"/>
      <c r="W159" s="25"/>
      <c r="X159" s="25"/>
      <c r="Y159" s="25"/>
      <c r="Z159" s="25"/>
    </row>
    <row r="160">
      <c r="A160" s="28"/>
      <c r="B160" s="19">
        <v>41067.0</v>
      </c>
      <c r="C160" s="20">
        <v>23.0</v>
      </c>
      <c r="D160" s="26">
        <v>159.0</v>
      </c>
      <c r="E160" s="34">
        <f t="shared" si="19"/>
        <v>6494.333333</v>
      </c>
      <c r="F160" s="34">
        <f t="shared" si="17"/>
        <v>0.2580645161</v>
      </c>
      <c r="G160" s="35">
        <f t="shared" si="18"/>
        <v>6621.989247</v>
      </c>
      <c r="H160" s="32"/>
      <c r="I160" s="34">
        <f t="shared" si="1"/>
        <v>23</v>
      </c>
      <c r="J160" s="32"/>
      <c r="K160" s="27"/>
      <c r="L160" s="9">
        <f t="shared" si="3"/>
        <v>43539.86612</v>
      </c>
      <c r="M160" s="27"/>
      <c r="N160" s="18"/>
      <c r="O160" s="18"/>
      <c r="P160" s="18"/>
      <c r="Q160" s="18"/>
      <c r="R160" s="18"/>
      <c r="S160" s="18"/>
      <c r="T160" s="18"/>
      <c r="U160" s="18"/>
      <c r="V160" s="18"/>
      <c r="W160" s="25"/>
      <c r="X160" s="25"/>
      <c r="Y160" s="25"/>
      <c r="Z160" s="25"/>
    </row>
    <row r="161">
      <c r="A161" s="28"/>
      <c r="B161" s="19">
        <v>41068.0</v>
      </c>
      <c r="C161" s="20">
        <v>23.0</v>
      </c>
      <c r="D161" s="26">
        <v>160.0</v>
      </c>
      <c r="E161" s="34">
        <f t="shared" si="19"/>
        <v>6494.333333</v>
      </c>
      <c r="F161" s="34">
        <f t="shared" si="17"/>
        <v>0.2258064516</v>
      </c>
      <c r="G161" s="35">
        <f t="shared" si="18"/>
        <v>6606.032258</v>
      </c>
      <c r="H161" s="32"/>
      <c r="I161" s="34">
        <f t="shared" si="1"/>
        <v>23</v>
      </c>
      <c r="J161" s="32"/>
      <c r="K161" s="27"/>
      <c r="L161" s="9">
        <f t="shared" si="3"/>
        <v>43539.86612</v>
      </c>
      <c r="M161" s="27"/>
      <c r="N161" s="18"/>
      <c r="O161" s="18"/>
      <c r="P161" s="18"/>
      <c r="Q161" s="18"/>
      <c r="R161" s="18"/>
      <c r="S161" s="18"/>
      <c r="T161" s="18"/>
      <c r="U161" s="18"/>
      <c r="V161" s="18"/>
      <c r="W161" s="25"/>
      <c r="X161" s="25"/>
      <c r="Y161" s="25"/>
      <c r="Z161" s="25"/>
    </row>
    <row r="162">
      <c r="A162" s="28"/>
      <c r="B162" s="19">
        <v>41069.0</v>
      </c>
      <c r="C162" s="20">
        <v>23.0</v>
      </c>
      <c r="D162" s="26">
        <v>161.0</v>
      </c>
      <c r="E162" s="34">
        <f t="shared" si="19"/>
        <v>6494.333333</v>
      </c>
      <c r="F162" s="34">
        <f t="shared" si="17"/>
        <v>0.1935483871</v>
      </c>
      <c r="G162" s="35">
        <f t="shared" si="18"/>
        <v>6590.075269</v>
      </c>
      <c r="H162" s="32"/>
      <c r="I162" s="34">
        <f t="shared" si="1"/>
        <v>23</v>
      </c>
      <c r="J162" s="32"/>
      <c r="K162" s="27"/>
      <c r="L162" s="9">
        <f t="shared" si="3"/>
        <v>43539.86612</v>
      </c>
      <c r="M162" s="27"/>
      <c r="N162" s="18"/>
      <c r="O162" s="18"/>
      <c r="P162" s="18"/>
      <c r="Q162" s="18"/>
      <c r="R162" s="18"/>
      <c r="S162" s="18"/>
      <c r="T162" s="18"/>
      <c r="U162" s="18"/>
      <c r="V162" s="18"/>
      <c r="W162" s="25"/>
      <c r="X162" s="25"/>
      <c r="Y162" s="25"/>
      <c r="Z162" s="25"/>
    </row>
    <row r="163">
      <c r="A163" s="28"/>
      <c r="B163" s="19">
        <v>41070.0</v>
      </c>
      <c r="C163" s="20">
        <v>24.0</v>
      </c>
      <c r="D163" s="26">
        <v>162.0</v>
      </c>
      <c r="E163" s="34">
        <f t="shared" si="19"/>
        <v>6494.333333</v>
      </c>
      <c r="F163" s="34">
        <f t="shared" si="17"/>
        <v>0.1612903226</v>
      </c>
      <c r="G163" s="35">
        <f t="shared" si="18"/>
        <v>6574.11828</v>
      </c>
      <c r="H163" s="32"/>
      <c r="I163" s="34">
        <f t="shared" si="1"/>
        <v>24</v>
      </c>
      <c r="J163" s="35">
        <f>SUM(G163:G169)</f>
        <v>45720.02545</v>
      </c>
      <c r="K163" s="24">
        <v>45720.02545</v>
      </c>
      <c r="L163" s="9">
        <f t="shared" si="3"/>
        <v>43539.86612</v>
      </c>
      <c r="M163" s="24">
        <v>43539.86612</v>
      </c>
      <c r="N163" s="25">
        <v>11647.90488</v>
      </c>
      <c r="O163" s="25">
        <v>10974.24449</v>
      </c>
      <c r="P163" s="25">
        <v>2705.163051</v>
      </c>
      <c r="Q163" s="25">
        <v>19919.331</v>
      </c>
      <c r="R163" s="18"/>
      <c r="S163" s="25">
        <v>11975.83924</v>
      </c>
      <c r="T163" s="25">
        <v>10491.01158</v>
      </c>
      <c r="U163" s="25">
        <v>2518.028471</v>
      </c>
      <c r="V163" s="25">
        <v>18546.39599</v>
      </c>
      <c r="W163" s="25">
        <v>-327.9343588</v>
      </c>
      <c r="X163" s="25">
        <v>483.2329106</v>
      </c>
      <c r="Y163" s="25">
        <v>187.1345803</v>
      </c>
      <c r="Z163" s="25">
        <v>1372.935002</v>
      </c>
    </row>
    <row r="164">
      <c r="A164" s="28"/>
      <c r="B164" s="19">
        <v>41071.0</v>
      </c>
      <c r="C164" s="20">
        <v>24.0</v>
      </c>
      <c r="D164" s="26">
        <v>163.0</v>
      </c>
      <c r="E164" s="34">
        <f t="shared" si="19"/>
        <v>6494.333333</v>
      </c>
      <c r="F164" s="34">
        <f t="shared" si="17"/>
        <v>0.1290322581</v>
      </c>
      <c r="G164" s="35">
        <f t="shared" si="18"/>
        <v>6558.16129</v>
      </c>
      <c r="H164" s="32"/>
      <c r="I164" s="34">
        <f t="shared" si="1"/>
        <v>24</v>
      </c>
      <c r="J164" s="32"/>
      <c r="K164" s="27"/>
      <c r="L164" s="9">
        <f t="shared" si="3"/>
        <v>43539.86612</v>
      </c>
      <c r="M164" s="27"/>
      <c r="N164" s="18"/>
      <c r="O164" s="18"/>
      <c r="P164" s="18"/>
      <c r="Q164" s="18"/>
      <c r="R164" s="18"/>
      <c r="S164" s="18"/>
      <c r="T164" s="18"/>
      <c r="U164" s="18"/>
      <c r="V164" s="18"/>
      <c r="W164" s="25"/>
      <c r="X164" s="25"/>
      <c r="Y164" s="25"/>
      <c r="Z164" s="25"/>
    </row>
    <row r="165">
      <c r="A165" s="28"/>
      <c r="B165" s="19">
        <v>41072.0</v>
      </c>
      <c r="C165" s="20">
        <v>24.0</v>
      </c>
      <c r="D165" s="26">
        <v>164.0</v>
      </c>
      <c r="E165" s="34">
        <f t="shared" si="19"/>
        <v>6494.333333</v>
      </c>
      <c r="F165" s="34">
        <f t="shared" si="17"/>
        <v>0.09677419355</v>
      </c>
      <c r="G165" s="35">
        <f t="shared" si="18"/>
        <v>6542.204301</v>
      </c>
      <c r="H165" s="32"/>
      <c r="I165" s="34">
        <f t="shared" si="1"/>
        <v>24</v>
      </c>
      <c r="J165" s="32"/>
      <c r="K165" s="27"/>
      <c r="L165" s="9">
        <f t="shared" si="3"/>
        <v>43539.86612</v>
      </c>
      <c r="M165" s="27"/>
      <c r="N165" s="18"/>
      <c r="O165" s="18"/>
      <c r="P165" s="18"/>
      <c r="Q165" s="18"/>
      <c r="R165" s="18"/>
      <c r="S165" s="18"/>
      <c r="T165" s="18"/>
      <c r="U165" s="18"/>
      <c r="V165" s="18"/>
      <c r="W165" s="25"/>
      <c r="X165" s="25"/>
      <c r="Y165" s="25"/>
      <c r="Z165" s="25"/>
    </row>
    <row r="166">
      <c r="A166" s="28"/>
      <c r="B166" s="19">
        <v>41073.0</v>
      </c>
      <c r="C166" s="20">
        <v>24.0</v>
      </c>
      <c r="D166" s="26">
        <v>165.0</v>
      </c>
      <c r="E166" s="34">
        <f t="shared" si="19"/>
        <v>6494.333333</v>
      </c>
      <c r="F166" s="34">
        <f t="shared" si="17"/>
        <v>0.06451612903</v>
      </c>
      <c r="G166" s="35">
        <f t="shared" si="18"/>
        <v>6526.247312</v>
      </c>
      <c r="H166" s="32"/>
      <c r="I166" s="34">
        <f t="shared" si="1"/>
        <v>24</v>
      </c>
      <c r="J166" s="32"/>
      <c r="K166" s="27"/>
      <c r="L166" s="9">
        <f t="shared" si="3"/>
        <v>43539.86612</v>
      </c>
      <c r="M166" s="27"/>
      <c r="N166" s="18"/>
      <c r="O166" s="18"/>
      <c r="P166" s="18"/>
      <c r="Q166" s="18"/>
      <c r="R166" s="18"/>
      <c r="S166" s="18"/>
      <c r="T166" s="18"/>
      <c r="U166" s="18"/>
      <c r="V166" s="18"/>
      <c r="W166" s="25"/>
      <c r="X166" s="25"/>
      <c r="Y166" s="25"/>
      <c r="Z166" s="25"/>
    </row>
    <row r="167">
      <c r="A167" s="28"/>
      <c r="B167" s="19">
        <v>41074.0</v>
      </c>
      <c r="C167" s="20">
        <v>24.0</v>
      </c>
      <c r="D167" s="26">
        <v>166.0</v>
      </c>
      <c r="E167" s="34">
        <f t="shared" si="19"/>
        <v>6494.333333</v>
      </c>
      <c r="F167" s="34">
        <f t="shared" si="17"/>
        <v>0.03225806452</v>
      </c>
      <c r="G167" s="35">
        <f t="shared" si="18"/>
        <v>6510.290323</v>
      </c>
      <c r="H167" s="32"/>
      <c r="I167" s="34">
        <f t="shared" si="1"/>
        <v>24</v>
      </c>
      <c r="J167" s="32"/>
      <c r="K167" s="27"/>
      <c r="L167" s="9">
        <f t="shared" si="3"/>
        <v>43539.86612</v>
      </c>
      <c r="M167" s="27"/>
      <c r="N167" s="18"/>
      <c r="O167" s="18"/>
      <c r="P167" s="18"/>
      <c r="Q167" s="18"/>
      <c r="R167" s="18"/>
      <c r="S167" s="18"/>
      <c r="T167" s="18"/>
      <c r="U167" s="18"/>
      <c r="V167" s="18"/>
      <c r="W167" s="25"/>
      <c r="X167" s="25"/>
      <c r="Y167" s="25"/>
      <c r="Z167" s="25"/>
    </row>
    <row r="168">
      <c r="A168" s="13"/>
      <c r="B168" s="19">
        <v>41075.0</v>
      </c>
      <c r="C168" s="20">
        <v>24.0</v>
      </c>
      <c r="D168" s="26">
        <v>167.0</v>
      </c>
      <c r="E168" s="34">
        <f t="shared" si="19"/>
        <v>6494.333333</v>
      </c>
      <c r="F168" s="34">
        <v>1.0</v>
      </c>
      <c r="G168" s="35">
        <f>E168</f>
        <v>6494.333333</v>
      </c>
      <c r="H168" s="32"/>
      <c r="I168" s="34">
        <f t="shared" si="1"/>
        <v>24</v>
      </c>
      <c r="J168" s="32"/>
      <c r="K168" s="27"/>
      <c r="L168" s="9">
        <f t="shared" si="3"/>
        <v>43539.86612</v>
      </c>
      <c r="M168" s="27"/>
      <c r="N168" s="18"/>
      <c r="O168" s="18"/>
      <c r="P168" s="18"/>
      <c r="Q168" s="18"/>
      <c r="R168" s="18"/>
      <c r="S168" s="18"/>
      <c r="T168" s="18"/>
      <c r="U168" s="18"/>
      <c r="V168" s="18"/>
      <c r="W168" s="25"/>
      <c r="X168" s="25"/>
      <c r="Y168" s="25"/>
      <c r="Z168" s="25"/>
    </row>
    <row r="169">
      <c r="A169" s="13"/>
      <c r="B169" s="19">
        <v>41076.0</v>
      </c>
      <c r="C169" s="20">
        <v>24.0</v>
      </c>
      <c r="D169" s="26">
        <v>168.0</v>
      </c>
      <c r="E169" s="34">
        <f t="shared" si="19"/>
        <v>6494.333333</v>
      </c>
      <c r="F169" s="34">
        <f t="shared" ref="F169:F197" si="20">abs((D169-197)/(197-167))</f>
        <v>0.9666666667</v>
      </c>
      <c r="G169" s="35">
        <f t="shared" ref="G169:G197" si="21">E154*F169+(1-F169)*E184</f>
        <v>6514.670609</v>
      </c>
      <c r="H169" s="32"/>
      <c r="I169" s="34">
        <f t="shared" si="1"/>
        <v>24</v>
      </c>
      <c r="J169" s="32"/>
      <c r="K169" s="27"/>
      <c r="L169" s="9">
        <f t="shared" si="3"/>
        <v>43539.86612</v>
      </c>
      <c r="M169" s="27"/>
      <c r="N169" s="18"/>
      <c r="O169" s="18"/>
      <c r="P169" s="18"/>
      <c r="Q169" s="18"/>
      <c r="R169" s="18"/>
      <c r="S169" s="18"/>
      <c r="T169" s="18"/>
      <c r="U169" s="18"/>
      <c r="V169" s="18"/>
      <c r="W169" s="25"/>
      <c r="X169" s="25"/>
      <c r="Y169" s="25"/>
      <c r="Z169" s="25"/>
    </row>
    <row r="170">
      <c r="A170" s="28"/>
      <c r="B170" s="19">
        <v>41077.0</v>
      </c>
      <c r="C170" s="20">
        <v>25.0</v>
      </c>
      <c r="D170" s="26">
        <v>169.0</v>
      </c>
      <c r="E170" s="34">
        <f t="shared" si="19"/>
        <v>6494.333333</v>
      </c>
      <c r="F170" s="34">
        <f t="shared" si="20"/>
        <v>0.9333333333</v>
      </c>
      <c r="G170" s="35">
        <f t="shared" si="21"/>
        <v>6535.007885</v>
      </c>
      <c r="H170" s="32"/>
      <c r="I170" s="34">
        <f t="shared" si="1"/>
        <v>25</v>
      </c>
      <c r="J170" s="35">
        <f>SUM(G170:G176)</f>
        <v>46172.13799</v>
      </c>
      <c r="K170" s="24">
        <v>46172.13799</v>
      </c>
      <c r="L170" s="9">
        <f t="shared" si="3"/>
        <v>43539.86612</v>
      </c>
      <c r="M170" s="24">
        <v>43539.86612</v>
      </c>
      <c r="N170" s="25">
        <v>12389.21393</v>
      </c>
      <c r="O170" s="25">
        <v>11187.8535</v>
      </c>
      <c r="P170" s="25">
        <v>2814.360077</v>
      </c>
      <c r="Q170" s="25">
        <v>20437.32411</v>
      </c>
      <c r="R170" s="18"/>
      <c r="S170" s="25">
        <v>11465.43058</v>
      </c>
      <c r="T170" s="25">
        <v>9912.101484</v>
      </c>
      <c r="U170" s="25">
        <v>2530.755958</v>
      </c>
      <c r="V170" s="25">
        <v>18149.67069</v>
      </c>
      <c r="W170" s="25">
        <v>923.7833503</v>
      </c>
      <c r="X170" s="25">
        <v>1275.752016</v>
      </c>
      <c r="Y170" s="25">
        <v>283.604119</v>
      </c>
      <c r="Z170" s="25">
        <v>2287.653422</v>
      </c>
    </row>
    <row r="171">
      <c r="A171" s="28"/>
      <c r="B171" s="19">
        <v>41078.0</v>
      </c>
      <c r="C171" s="20">
        <v>25.0</v>
      </c>
      <c r="D171" s="26">
        <v>170.0</v>
      </c>
      <c r="E171" s="34">
        <f t="shared" si="19"/>
        <v>6494.333333</v>
      </c>
      <c r="F171" s="34">
        <f t="shared" si="20"/>
        <v>0.9</v>
      </c>
      <c r="G171" s="35">
        <f t="shared" si="21"/>
        <v>6555.345161</v>
      </c>
      <c r="H171" s="32"/>
      <c r="I171" s="34">
        <f t="shared" si="1"/>
        <v>25</v>
      </c>
      <c r="J171" s="32"/>
      <c r="K171" s="27"/>
      <c r="L171" s="9">
        <f t="shared" si="3"/>
        <v>43539.86612</v>
      </c>
      <c r="M171" s="27"/>
      <c r="N171" s="18"/>
      <c r="O171" s="18"/>
      <c r="P171" s="18"/>
      <c r="Q171" s="18"/>
      <c r="R171" s="18"/>
      <c r="S171" s="18"/>
      <c r="T171" s="18"/>
      <c r="U171" s="18"/>
      <c r="V171" s="18"/>
      <c r="W171" s="25"/>
      <c r="X171" s="25"/>
      <c r="Y171" s="25"/>
      <c r="Z171" s="25"/>
    </row>
    <row r="172">
      <c r="A172" s="28"/>
      <c r="B172" s="19">
        <v>41079.0</v>
      </c>
      <c r="C172" s="20">
        <v>25.0</v>
      </c>
      <c r="D172" s="26">
        <v>171.0</v>
      </c>
      <c r="E172" s="34">
        <f t="shared" si="19"/>
        <v>6494.333333</v>
      </c>
      <c r="F172" s="34">
        <f t="shared" si="20"/>
        <v>0.8666666667</v>
      </c>
      <c r="G172" s="35">
        <f t="shared" si="21"/>
        <v>6575.682437</v>
      </c>
      <c r="H172" s="32"/>
      <c r="I172" s="34">
        <f t="shared" si="1"/>
        <v>25</v>
      </c>
      <c r="J172" s="32"/>
      <c r="K172" s="27"/>
      <c r="L172" s="9">
        <f t="shared" si="3"/>
        <v>43539.86612</v>
      </c>
      <c r="M172" s="27"/>
      <c r="N172" s="18"/>
      <c r="O172" s="18"/>
      <c r="P172" s="18"/>
      <c r="Q172" s="18"/>
      <c r="R172" s="18"/>
      <c r="S172" s="18"/>
      <c r="T172" s="18"/>
      <c r="U172" s="18"/>
      <c r="V172" s="18"/>
      <c r="W172" s="25"/>
      <c r="X172" s="25"/>
      <c r="Y172" s="25"/>
      <c r="Z172" s="25"/>
    </row>
    <row r="173">
      <c r="A173" s="28"/>
      <c r="B173" s="19">
        <v>41080.0</v>
      </c>
      <c r="C173" s="20">
        <v>25.0</v>
      </c>
      <c r="D173" s="26">
        <v>172.0</v>
      </c>
      <c r="E173" s="34">
        <f t="shared" si="19"/>
        <v>6494.333333</v>
      </c>
      <c r="F173" s="34">
        <f t="shared" si="20"/>
        <v>0.8333333333</v>
      </c>
      <c r="G173" s="35">
        <f t="shared" si="21"/>
        <v>6596.019713</v>
      </c>
      <c r="H173" s="32"/>
      <c r="I173" s="34">
        <f t="shared" si="1"/>
        <v>25</v>
      </c>
      <c r="J173" s="32"/>
      <c r="K173" s="27"/>
      <c r="L173" s="9">
        <f t="shared" si="3"/>
        <v>43539.86612</v>
      </c>
      <c r="M173" s="27"/>
      <c r="N173" s="18"/>
      <c r="O173" s="18"/>
      <c r="P173" s="18"/>
      <c r="Q173" s="18"/>
      <c r="R173" s="18"/>
      <c r="S173" s="18"/>
      <c r="T173" s="18"/>
      <c r="U173" s="18"/>
      <c r="V173" s="18"/>
      <c r="W173" s="25"/>
      <c r="X173" s="25"/>
      <c r="Y173" s="25"/>
      <c r="Z173" s="25"/>
    </row>
    <row r="174">
      <c r="A174" s="28"/>
      <c r="B174" s="19">
        <v>41081.0</v>
      </c>
      <c r="C174" s="20">
        <v>25.0</v>
      </c>
      <c r="D174" s="26">
        <v>173.0</v>
      </c>
      <c r="E174" s="34">
        <f t="shared" si="19"/>
        <v>6494.333333</v>
      </c>
      <c r="F174" s="34">
        <f t="shared" si="20"/>
        <v>0.8</v>
      </c>
      <c r="G174" s="35">
        <f t="shared" si="21"/>
        <v>6616.356989</v>
      </c>
      <c r="H174" s="32"/>
      <c r="I174" s="34">
        <f t="shared" si="1"/>
        <v>25</v>
      </c>
      <c r="J174" s="32"/>
      <c r="K174" s="27"/>
      <c r="L174" s="9">
        <f t="shared" si="3"/>
        <v>43539.86612</v>
      </c>
      <c r="M174" s="27"/>
      <c r="N174" s="18"/>
      <c r="O174" s="18"/>
      <c r="P174" s="18"/>
      <c r="Q174" s="18"/>
      <c r="R174" s="18"/>
      <c r="S174" s="18"/>
      <c r="T174" s="18"/>
      <c r="U174" s="18"/>
      <c r="V174" s="18"/>
      <c r="W174" s="25"/>
      <c r="X174" s="25"/>
      <c r="Y174" s="25"/>
      <c r="Z174" s="25"/>
    </row>
    <row r="175">
      <c r="A175" s="28"/>
      <c r="B175" s="19">
        <v>41082.0</v>
      </c>
      <c r="C175" s="20">
        <v>25.0</v>
      </c>
      <c r="D175" s="26">
        <v>174.0</v>
      </c>
      <c r="E175" s="34">
        <f t="shared" si="19"/>
        <v>6494.333333</v>
      </c>
      <c r="F175" s="34">
        <f t="shared" si="20"/>
        <v>0.7666666667</v>
      </c>
      <c r="G175" s="35">
        <f t="shared" si="21"/>
        <v>6636.694265</v>
      </c>
      <c r="H175" s="32"/>
      <c r="I175" s="34">
        <f t="shared" si="1"/>
        <v>25</v>
      </c>
      <c r="J175" s="32"/>
      <c r="K175" s="27"/>
      <c r="L175" s="9">
        <f t="shared" si="3"/>
        <v>43539.86612</v>
      </c>
      <c r="M175" s="27"/>
      <c r="N175" s="18"/>
      <c r="O175" s="18"/>
      <c r="P175" s="18"/>
      <c r="Q175" s="18"/>
      <c r="R175" s="18"/>
      <c r="S175" s="18"/>
      <c r="T175" s="18"/>
      <c r="U175" s="18"/>
      <c r="V175" s="18"/>
      <c r="W175" s="25"/>
      <c r="X175" s="25"/>
      <c r="Y175" s="25"/>
      <c r="Z175" s="25"/>
    </row>
    <row r="176">
      <c r="A176" s="28"/>
      <c r="B176" s="19">
        <v>41083.0</v>
      </c>
      <c r="C176" s="20">
        <v>25.0</v>
      </c>
      <c r="D176" s="26">
        <v>175.0</v>
      </c>
      <c r="E176" s="34">
        <f t="shared" si="19"/>
        <v>6494.333333</v>
      </c>
      <c r="F176" s="34">
        <f t="shared" si="20"/>
        <v>0.7333333333</v>
      </c>
      <c r="G176" s="35">
        <f t="shared" si="21"/>
        <v>6657.031541</v>
      </c>
      <c r="H176" s="32"/>
      <c r="I176" s="34">
        <f t="shared" si="1"/>
        <v>25</v>
      </c>
      <c r="J176" s="32"/>
      <c r="K176" s="27"/>
      <c r="L176" s="9">
        <f t="shared" si="3"/>
        <v>43539.86612</v>
      </c>
      <c r="M176" s="27"/>
      <c r="N176" s="18"/>
      <c r="O176" s="18"/>
      <c r="P176" s="18"/>
      <c r="Q176" s="18"/>
      <c r="R176" s="18"/>
      <c r="S176" s="18"/>
      <c r="T176" s="18"/>
      <c r="U176" s="18"/>
      <c r="V176" s="18"/>
      <c r="W176" s="25"/>
      <c r="X176" s="25"/>
      <c r="Y176" s="25"/>
      <c r="Z176" s="25"/>
    </row>
    <row r="177">
      <c r="A177" s="28"/>
      <c r="B177" s="19">
        <v>41084.0</v>
      </c>
      <c r="C177" s="20">
        <v>26.0</v>
      </c>
      <c r="D177" s="26">
        <v>176.0</v>
      </c>
      <c r="E177" s="34">
        <f t="shared" si="19"/>
        <v>6494.333333</v>
      </c>
      <c r="F177" s="34">
        <f t="shared" si="20"/>
        <v>0.7</v>
      </c>
      <c r="G177" s="35">
        <f t="shared" si="21"/>
        <v>6677.368817</v>
      </c>
      <c r="H177" s="32"/>
      <c r="I177" s="34">
        <f t="shared" si="1"/>
        <v>26</v>
      </c>
      <c r="J177" s="35">
        <f>SUM(G177:G183)</f>
        <v>47168.66452</v>
      </c>
      <c r="K177" s="24">
        <v>47168.66452</v>
      </c>
      <c r="L177" s="9">
        <f t="shared" si="3"/>
        <v>43539.86612</v>
      </c>
      <c r="M177" s="24">
        <v>43539.86612</v>
      </c>
      <c r="N177" s="25">
        <v>11944.88528</v>
      </c>
      <c r="O177" s="25">
        <v>11216.7532</v>
      </c>
      <c r="P177" s="25">
        <v>2720.796578</v>
      </c>
      <c r="Q177" s="25">
        <v>21537.03687</v>
      </c>
      <c r="R177" s="18"/>
      <c r="S177" s="25">
        <v>12006.57016</v>
      </c>
      <c r="T177" s="25">
        <v>10679.54392</v>
      </c>
      <c r="U177" s="25">
        <v>2688.744058</v>
      </c>
      <c r="V177" s="25">
        <v>18177.61515</v>
      </c>
      <c r="W177" s="25">
        <v>-61.68488296</v>
      </c>
      <c r="X177" s="25">
        <v>537.2092758</v>
      </c>
      <c r="Y177" s="25">
        <v>32.05251971</v>
      </c>
      <c r="Z177" s="25">
        <v>3359.421717</v>
      </c>
    </row>
    <row r="178">
      <c r="A178" s="28"/>
      <c r="B178" s="19">
        <v>41085.0</v>
      </c>
      <c r="C178" s="20">
        <v>26.0</v>
      </c>
      <c r="D178" s="26">
        <v>177.0</v>
      </c>
      <c r="E178" s="34">
        <f t="shared" si="19"/>
        <v>6494.333333</v>
      </c>
      <c r="F178" s="34">
        <f t="shared" si="20"/>
        <v>0.6666666667</v>
      </c>
      <c r="G178" s="35">
        <f t="shared" si="21"/>
        <v>6697.706093</v>
      </c>
      <c r="H178" s="32"/>
      <c r="I178" s="34">
        <f t="shared" si="1"/>
        <v>26</v>
      </c>
      <c r="J178" s="32"/>
      <c r="K178" s="27"/>
      <c r="L178" s="9">
        <f t="shared" si="3"/>
        <v>43539.86612</v>
      </c>
      <c r="M178" s="27"/>
      <c r="N178" s="18"/>
      <c r="O178" s="18"/>
      <c r="P178" s="18"/>
      <c r="Q178" s="18"/>
      <c r="R178" s="18"/>
      <c r="S178" s="18"/>
      <c r="T178" s="18"/>
      <c r="U178" s="18"/>
      <c r="V178" s="18"/>
      <c r="W178" s="25"/>
      <c r="X178" s="25"/>
      <c r="Y178" s="25"/>
      <c r="Z178" s="25"/>
    </row>
    <row r="179">
      <c r="A179" s="28"/>
      <c r="B179" s="19">
        <v>41086.0</v>
      </c>
      <c r="C179" s="20">
        <v>26.0</v>
      </c>
      <c r="D179" s="26">
        <v>178.0</v>
      </c>
      <c r="E179" s="34">
        <f t="shared" si="19"/>
        <v>6494.333333</v>
      </c>
      <c r="F179" s="34">
        <f t="shared" si="20"/>
        <v>0.6333333333</v>
      </c>
      <c r="G179" s="35">
        <f t="shared" si="21"/>
        <v>6718.043369</v>
      </c>
      <c r="H179" s="32"/>
      <c r="I179" s="34">
        <f t="shared" si="1"/>
        <v>26</v>
      </c>
      <c r="J179" s="32"/>
      <c r="K179" s="27"/>
      <c r="L179" s="9">
        <f t="shared" si="3"/>
        <v>43539.86612</v>
      </c>
      <c r="M179" s="27"/>
      <c r="N179" s="18"/>
      <c r="O179" s="18"/>
      <c r="P179" s="18"/>
      <c r="Q179" s="18"/>
      <c r="R179" s="18"/>
      <c r="S179" s="18"/>
      <c r="T179" s="18"/>
      <c r="U179" s="18"/>
      <c r="V179" s="18"/>
      <c r="W179" s="25"/>
      <c r="X179" s="25"/>
      <c r="Y179" s="25"/>
      <c r="Z179" s="25"/>
    </row>
    <row r="180">
      <c r="A180" s="28"/>
      <c r="B180" s="19">
        <v>41087.0</v>
      </c>
      <c r="C180" s="20">
        <v>26.0</v>
      </c>
      <c r="D180" s="26">
        <v>179.0</v>
      </c>
      <c r="E180" s="34">
        <f t="shared" si="19"/>
        <v>6494.333333</v>
      </c>
      <c r="F180" s="34">
        <f t="shared" si="20"/>
        <v>0.6</v>
      </c>
      <c r="G180" s="35">
        <f t="shared" si="21"/>
        <v>6738.380645</v>
      </c>
      <c r="H180" s="32"/>
      <c r="I180" s="34">
        <f t="shared" si="1"/>
        <v>26</v>
      </c>
      <c r="J180" s="32"/>
      <c r="K180" s="27"/>
      <c r="L180" s="9">
        <f t="shared" si="3"/>
        <v>43539.86612</v>
      </c>
      <c r="M180" s="27"/>
      <c r="N180" s="18"/>
      <c r="O180" s="18"/>
      <c r="P180" s="18"/>
      <c r="Q180" s="18"/>
      <c r="R180" s="18"/>
      <c r="S180" s="18"/>
      <c r="T180" s="18"/>
      <c r="U180" s="18"/>
      <c r="V180" s="18"/>
      <c r="W180" s="25"/>
      <c r="X180" s="25"/>
      <c r="Y180" s="25"/>
      <c r="Z180" s="25"/>
    </row>
    <row r="181">
      <c r="A181" s="28"/>
      <c r="B181" s="19">
        <v>41088.0</v>
      </c>
      <c r="C181" s="20">
        <v>26.0</v>
      </c>
      <c r="D181" s="26">
        <v>180.0</v>
      </c>
      <c r="E181" s="34">
        <f t="shared" si="19"/>
        <v>6494.333333</v>
      </c>
      <c r="F181" s="34">
        <f t="shared" si="20"/>
        <v>0.5666666667</v>
      </c>
      <c r="G181" s="35">
        <f t="shared" si="21"/>
        <v>6758.717921</v>
      </c>
      <c r="H181" s="32"/>
      <c r="I181" s="34">
        <f t="shared" si="1"/>
        <v>26</v>
      </c>
      <c r="J181" s="32"/>
      <c r="K181" s="27"/>
      <c r="L181" s="9">
        <f t="shared" si="3"/>
        <v>43539.86612</v>
      </c>
      <c r="M181" s="27"/>
      <c r="N181" s="18"/>
      <c r="O181" s="18"/>
      <c r="P181" s="18"/>
      <c r="Q181" s="18"/>
      <c r="R181" s="18"/>
      <c r="S181" s="18"/>
      <c r="T181" s="18"/>
      <c r="U181" s="18"/>
      <c r="V181" s="18"/>
      <c r="W181" s="25"/>
      <c r="X181" s="25"/>
      <c r="Y181" s="25"/>
      <c r="Z181" s="25"/>
    </row>
    <row r="182">
      <c r="A182" s="28"/>
      <c r="B182" s="19">
        <v>41089.0</v>
      </c>
      <c r="C182" s="20">
        <v>26.0</v>
      </c>
      <c r="D182" s="26">
        <v>181.0</v>
      </c>
      <c r="E182" s="34">
        <f t="shared" si="19"/>
        <v>6494.333333</v>
      </c>
      <c r="F182" s="34">
        <f t="shared" si="20"/>
        <v>0.5333333333</v>
      </c>
      <c r="G182" s="35">
        <f t="shared" si="21"/>
        <v>6779.055197</v>
      </c>
      <c r="H182" s="32"/>
      <c r="I182" s="34">
        <f t="shared" si="1"/>
        <v>26</v>
      </c>
      <c r="J182" s="32"/>
      <c r="K182" s="27"/>
      <c r="L182" s="9">
        <f t="shared" si="3"/>
        <v>43539.86612</v>
      </c>
      <c r="M182" s="27"/>
      <c r="N182" s="18"/>
      <c r="O182" s="18"/>
      <c r="P182" s="18"/>
      <c r="Q182" s="18"/>
      <c r="R182" s="18"/>
      <c r="S182" s="18"/>
      <c r="T182" s="18"/>
      <c r="U182" s="18"/>
      <c r="V182" s="18"/>
      <c r="W182" s="25"/>
      <c r="X182" s="25"/>
      <c r="Y182" s="25"/>
      <c r="Z182" s="25"/>
    </row>
    <row r="183">
      <c r="A183" s="28"/>
      <c r="B183" s="19">
        <v>41090.0</v>
      </c>
      <c r="C183" s="20">
        <v>26.0</v>
      </c>
      <c r="D183" s="26">
        <v>182.0</v>
      </c>
      <c r="E183" s="34">
        <f t="shared" si="19"/>
        <v>6494.333333</v>
      </c>
      <c r="F183" s="34">
        <f t="shared" si="20"/>
        <v>0.5</v>
      </c>
      <c r="G183" s="35">
        <f t="shared" si="21"/>
        <v>6799.392473</v>
      </c>
      <c r="H183" s="32"/>
      <c r="I183" s="34">
        <f t="shared" si="1"/>
        <v>26</v>
      </c>
      <c r="J183" s="32"/>
      <c r="K183" s="27"/>
      <c r="L183" s="9">
        <f t="shared" si="3"/>
        <v>43539.86612</v>
      </c>
      <c r="M183" s="27"/>
      <c r="N183" s="18"/>
      <c r="O183" s="18"/>
      <c r="P183" s="18"/>
      <c r="Q183" s="18"/>
      <c r="R183" s="18"/>
      <c r="S183" s="18"/>
      <c r="T183" s="18"/>
      <c r="U183" s="18"/>
      <c r="V183" s="18"/>
      <c r="W183" s="25"/>
      <c r="X183" s="25"/>
      <c r="Y183" s="25"/>
      <c r="Z183" s="25"/>
    </row>
    <row r="184">
      <c r="A184" s="13" t="s">
        <v>70</v>
      </c>
      <c r="B184" s="19">
        <v>41091.0</v>
      </c>
      <c r="C184" s="20">
        <v>27.0</v>
      </c>
      <c r="D184" s="26">
        <v>183.0</v>
      </c>
      <c r="E184" s="34">
        <f>A185/31</f>
        <v>7104.451613</v>
      </c>
      <c r="F184" s="34">
        <f t="shared" si="20"/>
        <v>0.4666666667</v>
      </c>
      <c r="G184" s="35">
        <f t="shared" si="21"/>
        <v>6819.729749</v>
      </c>
      <c r="H184" s="32"/>
      <c r="I184" s="34">
        <f t="shared" si="1"/>
        <v>27</v>
      </c>
      <c r="J184" s="35">
        <f>SUM(G184:G190)</f>
        <v>48165.19104</v>
      </c>
      <c r="K184" s="24">
        <v>48165.19104</v>
      </c>
      <c r="L184" s="9">
        <f t="shared" si="3"/>
        <v>43539.86612</v>
      </c>
      <c r="M184" s="24">
        <v>43539.86612</v>
      </c>
      <c r="N184" s="25">
        <v>12940.93655</v>
      </c>
      <c r="O184" s="25">
        <v>11711.78237</v>
      </c>
      <c r="P184" s="25">
        <v>3013.28183</v>
      </c>
      <c r="Q184" s="25">
        <v>21179.9179</v>
      </c>
      <c r="R184" s="18"/>
      <c r="S184" s="25">
        <v>11979.65175</v>
      </c>
      <c r="T184" s="25">
        <v>10148.12514</v>
      </c>
      <c r="U184" s="25">
        <v>2595.364444</v>
      </c>
      <c r="V184" s="25">
        <v>18794.08113</v>
      </c>
      <c r="W184" s="25">
        <v>961.2848067</v>
      </c>
      <c r="X184" s="25">
        <v>1563.657229</v>
      </c>
      <c r="Y184" s="25">
        <v>417.9173858</v>
      </c>
      <c r="Z184" s="25">
        <v>2385.836763</v>
      </c>
    </row>
    <row r="185">
      <c r="A185" s="20">
        <v>220238.0</v>
      </c>
      <c r="B185" s="19">
        <v>41092.0</v>
      </c>
      <c r="C185" s="20">
        <v>27.0</v>
      </c>
      <c r="D185" s="26">
        <v>184.0</v>
      </c>
      <c r="E185" s="34">
        <f t="shared" ref="E185:E214" si="22">E184</f>
        <v>7104.451613</v>
      </c>
      <c r="F185" s="34">
        <f t="shared" si="20"/>
        <v>0.4333333333</v>
      </c>
      <c r="G185" s="35">
        <f t="shared" si="21"/>
        <v>6840.067025</v>
      </c>
      <c r="H185" s="32"/>
      <c r="I185" s="34">
        <f t="shared" si="1"/>
        <v>27</v>
      </c>
      <c r="J185" s="32"/>
      <c r="K185" s="27"/>
      <c r="L185" s="9">
        <f t="shared" si="3"/>
        <v>43539.86612</v>
      </c>
      <c r="M185" s="27"/>
      <c r="N185" s="18"/>
      <c r="O185" s="18"/>
      <c r="P185" s="18"/>
      <c r="Q185" s="18"/>
      <c r="R185" s="18"/>
      <c r="S185" s="18"/>
      <c r="T185" s="18"/>
      <c r="U185" s="18"/>
      <c r="V185" s="18"/>
      <c r="W185" s="25"/>
      <c r="X185" s="25"/>
      <c r="Y185" s="25"/>
      <c r="Z185" s="25"/>
    </row>
    <row r="186">
      <c r="A186" s="28"/>
      <c r="B186" s="19">
        <v>41093.0</v>
      </c>
      <c r="C186" s="20">
        <v>27.0</v>
      </c>
      <c r="D186" s="26">
        <v>185.0</v>
      </c>
      <c r="E186" s="34">
        <f t="shared" si="22"/>
        <v>7104.451613</v>
      </c>
      <c r="F186" s="34">
        <f t="shared" si="20"/>
        <v>0.4</v>
      </c>
      <c r="G186" s="35">
        <f t="shared" si="21"/>
        <v>6860.404301</v>
      </c>
      <c r="H186" s="32"/>
      <c r="I186" s="34">
        <f t="shared" si="1"/>
        <v>27</v>
      </c>
      <c r="J186" s="32"/>
      <c r="K186" s="27"/>
      <c r="L186" s="9">
        <f t="shared" si="3"/>
        <v>43539.86612</v>
      </c>
      <c r="M186" s="27"/>
      <c r="N186" s="18"/>
      <c r="O186" s="18"/>
      <c r="P186" s="18"/>
      <c r="Q186" s="18"/>
      <c r="R186" s="18"/>
      <c r="S186" s="18"/>
      <c r="T186" s="18"/>
      <c r="U186" s="18"/>
      <c r="V186" s="18"/>
      <c r="W186" s="25"/>
      <c r="X186" s="25"/>
      <c r="Y186" s="25"/>
      <c r="Z186" s="25"/>
    </row>
    <row r="187">
      <c r="A187" s="28"/>
      <c r="B187" s="19">
        <v>41094.0</v>
      </c>
      <c r="C187" s="20">
        <v>27.0</v>
      </c>
      <c r="D187" s="26">
        <v>186.0</v>
      </c>
      <c r="E187" s="34">
        <f t="shared" si="22"/>
        <v>7104.451613</v>
      </c>
      <c r="F187" s="34">
        <f t="shared" si="20"/>
        <v>0.3666666667</v>
      </c>
      <c r="G187" s="35">
        <f t="shared" si="21"/>
        <v>6880.741577</v>
      </c>
      <c r="H187" s="32"/>
      <c r="I187" s="34">
        <f t="shared" si="1"/>
        <v>27</v>
      </c>
      <c r="J187" s="32"/>
      <c r="K187" s="27"/>
      <c r="L187" s="9">
        <f t="shared" si="3"/>
        <v>43539.86612</v>
      </c>
      <c r="M187" s="27"/>
      <c r="N187" s="18"/>
      <c r="O187" s="18"/>
      <c r="P187" s="18"/>
      <c r="Q187" s="18"/>
      <c r="R187" s="18"/>
      <c r="S187" s="18"/>
      <c r="T187" s="18"/>
      <c r="U187" s="18"/>
      <c r="V187" s="18"/>
      <c r="W187" s="25"/>
      <c r="X187" s="25"/>
      <c r="Y187" s="25"/>
      <c r="Z187" s="25"/>
    </row>
    <row r="188">
      <c r="A188" s="28"/>
      <c r="B188" s="19">
        <v>41095.0</v>
      </c>
      <c r="C188" s="20">
        <v>27.0</v>
      </c>
      <c r="D188" s="26">
        <v>187.0</v>
      </c>
      <c r="E188" s="34">
        <f t="shared" si="22"/>
        <v>7104.451613</v>
      </c>
      <c r="F188" s="34">
        <f t="shared" si="20"/>
        <v>0.3333333333</v>
      </c>
      <c r="G188" s="35">
        <f t="shared" si="21"/>
        <v>6901.078853</v>
      </c>
      <c r="H188" s="32"/>
      <c r="I188" s="34">
        <f t="shared" si="1"/>
        <v>27</v>
      </c>
      <c r="J188" s="32"/>
      <c r="K188" s="27"/>
      <c r="L188" s="9">
        <f t="shared" si="3"/>
        <v>43539.86612</v>
      </c>
      <c r="M188" s="27"/>
      <c r="N188" s="18"/>
      <c r="O188" s="18"/>
      <c r="P188" s="18"/>
      <c r="Q188" s="18"/>
      <c r="R188" s="18"/>
      <c r="S188" s="18"/>
      <c r="T188" s="18"/>
      <c r="U188" s="18"/>
      <c r="V188" s="18"/>
      <c r="W188" s="25"/>
      <c r="X188" s="25"/>
      <c r="Y188" s="25"/>
      <c r="Z188" s="25"/>
    </row>
    <row r="189">
      <c r="A189" s="28"/>
      <c r="B189" s="19">
        <v>41096.0</v>
      </c>
      <c r="C189" s="20">
        <v>27.0</v>
      </c>
      <c r="D189" s="26">
        <v>188.0</v>
      </c>
      <c r="E189" s="34">
        <f t="shared" si="22"/>
        <v>7104.451613</v>
      </c>
      <c r="F189" s="34">
        <f t="shared" si="20"/>
        <v>0.3</v>
      </c>
      <c r="G189" s="35">
        <f t="shared" si="21"/>
        <v>6921.416129</v>
      </c>
      <c r="H189" s="32"/>
      <c r="I189" s="34">
        <f t="shared" si="1"/>
        <v>27</v>
      </c>
      <c r="J189" s="32"/>
      <c r="K189" s="27"/>
      <c r="L189" s="9">
        <f t="shared" si="3"/>
        <v>43539.86612</v>
      </c>
      <c r="M189" s="27"/>
      <c r="N189" s="18"/>
      <c r="O189" s="18"/>
      <c r="P189" s="18"/>
      <c r="Q189" s="18"/>
      <c r="R189" s="18"/>
      <c r="S189" s="18"/>
      <c r="T189" s="18"/>
      <c r="U189" s="18"/>
      <c r="V189" s="18"/>
      <c r="W189" s="25"/>
      <c r="X189" s="25"/>
      <c r="Y189" s="25"/>
      <c r="Z189" s="25"/>
    </row>
    <row r="190">
      <c r="A190" s="28"/>
      <c r="B190" s="19">
        <v>41097.0</v>
      </c>
      <c r="C190" s="20">
        <v>27.0</v>
      </c>
      <c r="D190" s="26">
        <v>189.0</v>
      </c>
      <c r="E190" s="34">
        <f t="shared" si="22"/>
        <v>7104.451613</v>
      </c>
      <c r="F190" s="34">
        <f t="shared" si="20"/>
        <v>0.2666666667</v>
      </c>
      <c r="G190" s="35">
        <f t="shared" si="21"/>
        <v>6941.753405</v>
      </c>
      <c r="H190" s="32"/>
      <c r="I190" s="34">
        <f t="shared" si="1"/>
        <v>27</v>
      </c>
      <c r="J190" s="32"/>
      <c r="K190" s="27"/>
      <c r="L190" s="9">
        <f t="shared" si="3"/>
        <v>43539.86612</v>
      </c>
      <c r="M190" s="27"/>
      <c r="N190" s="18"/>
      <c r="O190" s="18"/>
      <c r="P190" s="18"/>
      <c r="Q190" s="18"/>
      <c r="R190" s="18"/>
      <c r="S190" s="18"/>
      <c r="T190" s="18"/>
      <c r="U190" s="18"/>
      <c r="V190" s="18"/>
      <c r="W190" s="25"/>
      <c r="X190" s="25"/>
      <c r="Y190" s="25"/>
      <c r="Z190" s="25"/>
    </row>
    <row r="191">
      <c r="A191" s="28"/>
      <c r="B191" s="19">
        <v>41098.0</v>
      </c>
      <c r="C191" s="20">
        <v>28.0</v>
      </c>
      <c r="D191" s="26">
        <v>190.0</v>
      </c>
      <c r="E191" s="34">
        <f t="shared" si="22"/>
        <v>7104.451613</v>
      </c>
      <c r="F191" s="34">
        <f t="shared" si="20"/>
        <v>0.2333333333</v>
      </c>
      <c r="G191" s="35">
        <f t="shared" si="21"/>
        <v>6962.090681</v>
      </c>
      <c r="H191" s="32"/>
      <c r="I191" s="34">
        <f t="shared" si="1"/>
        <v>28</v>
      </c>
      <c r="J191" s="35">
        <f>SUM(G191:G197)</f>
        <v>49161.71756</v>
      </c>
      <c r="K191" s="24">
        <v>49161.71756</v>
      </c>
      <c r="L191" s="9">
        <f t="shared" si="3"/>
        <v>43539.86612</v>
      </c>
      <c r="M191" s="24">
        <v>43539.86612</v>
      </c>
      <c r="N191" s="25">
        <v>13094.54313</v>
      </c>
      <c r="O191" s="25">
        <v>11975.98774</v>
      </c>
      <c r="P191" s="25">
        <v>3112.187629</v>
      </c>
      <c r="Q191" s="25">
        <v>22049.22017</v>
      </c>
      <c r="R191" s="18"/>
      <c r="S191" s="25">
        <v>11116.40146</v>
      </c>
      <c r="T191" s="25">
        <v>10168.71106</v>
      </c>
      <c r="U191" s="25">
        <v>2549.388733</v>
      </c>
      <c r="V191" s="25">
        <v>19712.17891</v>
      </c>
      <c r="W191" s="25">
        <v>1978.141667</v>
      </c>
      <c r="X191" s="25">
        <v>1807.276686</v>
      </c>
      <c r="Y191" s="25">
        <v>562.7988957</v>
      </c>
      <c r="Z191" s="25">
        <v>2337.041262</v>
      </c>
    </row>
    <row r="192">
      <c r="A192" s="28"/>
      <c r="B192" s="19">
        <v>41099.0</v>
      </c>
      <c r="C192" s="20">
        <v>28.0</v>
      </c>
      <c r="D192" s="26">
        <v>191.0</v>
      </c>
      <c r="E192" s="34">
        <f t="shared" si="22"/>
        <v>7104.451613</v>
      </c>
      <c r="F192" s="34">
        <f t="shared" si="20"/>
        <v>0.2</v>
      </c>
      <c r="G192" s="35">
        <f t="shared" si="21"/>
        <v>6982.427957</v>
      </c>
      <c r="H192" s="32"/>
      <c r="I192" s="34">
        <f t="shared" si="1"/>
        <v>28</v>
      </c>
      <c r="J192" s="32"/>
      <c r="K192" s="27"/>
      <c r="L192" s="9">
        <f t="shared" si="3"/>
        <v>43539.86612</v>
      </c>
      <c r="M192" s="27"/>
      <c r="N192" s="18"/>
      <c r="O192" s="18"/>
      <c r="P192" s="18"/>
      <c r="Q192" s="18"/>
      <c r="R192" s="18"/>
      <c r="S192" s="18"/>
      <c r="T192" s="18"/>
      <c r="U192" s="18"/>
      <c r="V192" s="18"/>
      <c r="W192" s="25"/>
      <c r="X192" s="25"/>
      <c r="Y192" s="25"/>
      <c r="Z192" s="25"/>
    </row>
    <row r="193">
      <c r="A193" s="28"/>
      <c r="B193" s="19">
        <v>41100.0</v>
      </c>
      <c r="C193" s="20">
        <v>28.0</v>
      </c>
      <c r="D193" s="26">
        <v>192.0</v>
      </c>
      <c r="E193" s="34">
        <f t="shared" si="22"/>
        <v>7104.451613</v>
      </c>
      <c r="F193" s="34">
        <f t="shared" si="20"/>
        <v>0.1666666667</v>
      </c>
      <c r="G193" s="35">
        <f t="shared" si="21"/>
        <v>7002.765233</v>
      </c>
      <c r="H193" s="32"/>
      <c r="I193" s="34">
        <f t="shared" si="1"/>
        <v>28</v>
      </c>
      <c r="J193" s="32"/>
      <c r="K193" s="27"/>
      <c r="L193" s="9">
        <f t="shared" si="3"/>
        <v>43539.86612</v>
      </c>
      <c r="M193" s="27"/>
      <c r="N193" s="18"/>
      <c r="O193" s="18"/>
      <c r="P193" s="18"/>
      <c r="Q193" s="18"/>
      <c r="R193" s="18"/>
      <c r="S193" s="18"/>
      <c r="T193" s="18"/>
      <c r="U193" s="18"/>
      <c r="V193" s="18"/>
      <c r="W193" s="25"/>
      <c r="X193" s="25"/>
      <c r="Y193" s="25"/>
      <c r="Z193" s="25"/>
    </row>
    <row r="194">
      <c r="A194" s="28"/>
      <c r="B194" s="19">
        <v>41101.0</v>
      </c>
      <c r="C194" s="20">
        <v>28.0</v>
      </c>
      <c r="D194" s="26">
        <v>193.0</v>
      </c>
      <c r="E194" s="34">
        <f t="shared" si="22"/>
        <v>7104.451613</v>
      </c>
      <c r="F194" s="34">
        <f t="shared" si="20"/>
        <v>0.1333333333</v>
      </c>
      <c r="G194" s="35">
        <f t="shared" si="21"/>
        <v>7023.102509</v>
      </c>
      <c r="H194" s="32"/>
      <c r="I194" s="34">
        <f t="shared" si="1"/>
        <v>28</v>
      </c>
      <c r="J194" s="32"/>
      <c r="K194" s="27"/>
      <c r="L194" s="9">
        <f t="shared" si="3"/>
        <v>43539.86612</v>
      </c>
      <c r="M194" s="27"/>
      <c r="N194" s="18"/>
      <c r="O194" s="18"/>
      <c r="P194" s="18"/>
      <c r="Q194" s="18"/>
      <c r="R194" s="18"/>
      <c r="S194" s="18"/>
      <c r="T194" s="18"/>
      <c r="U194" s="18"/>
      <c r="V194" s="18"/>
      <c r="W194" s="25"/>
      <c r="X194" s="25"/>
      <c r="Y194" s="25"/>
      <c r="Z194" s="25"/>
    </row>
    <row r="195">
      <c r="A195" s="28"/>
      <c r="B195" s="19">
        <v>41102.0</v>
      </c>
      <c r="C195" s="20">
        <v>28.0</v>
      </c>
      <c r="D195" s="26">
        <v>194.0</v>
      </c>
      <c r="E195" s="34">
        <f t="shared" si="22"/>
        <v>7104.451613</v>
      </c>
      <c r="F195" s="34">
        <f t="shared" si="20"/>
        <v>0.1</v>
      </c>
      <c r="G195" s="35">
        <f t="shared" si="21"/>
        <v>7043.439785</v>
      </c>
      <c r="H195" s="32"/>
      <c r="I195" s="34">
        <f t="shared" si="1"/>
        <v>28</v>
      </c>
      <c r="J195" s="32"/>
      <c r="K195" s="27"/>
      <c r="L195" s="9">
        <f t="shared" si="3"/>
        <v>43539.86612</v>
      </c>
      <c r="M195" s="27"/>
      <c r="N195" s="18"/>
      <c r="O195" s="18"/>
      <c r="P195" s="18"/>
      <c r="Q195" s="18"/>
      <c r="R195" s="18"/>
      <c r="S195" s="18"/>
      <c r="T195" s="18"/>
      <c r="U195" s="18"/>
      <c r="V195" s="18"/>
      <c r="W195" s="25"/>
      <c r="X195" s="25"/>
      <c r="Y195" s="25"/>
      <c r="Z195" s="25"/>
    </row>
    <row r="196">
      <c r="A196" s="28"/>
      <c r="B196" s="19">
        <v>41103.0</v>
      </c>
      <c r="C196" s="20">
        <v>28.0</v>
      </c>
      <c r="D196" s="26">
        <v>195.0</v>
      </c>
      <c r="E196" s="34">
        <f t="shared" si="22"/>
        <v>7104.451613</v>
      </c>
      <c r="F196" s="34">
        <f t="shared" si="20"/>
        <v>0.06666666667</v>
      </c>
      <c r="G196" s="35">
        <f t="shared" si="21"/>
        <v>7063.777061</v>
      </c>
      <c r="H196" s="32"/>
      <c r="I196" s="34">
        <f t="shared" si="1"/>
        <v>28</v>
      </c>
      <c r="J196" s="32"/>
      <c r="K196" s="27"/>
      <c r="L196" s="9">
        <f t="shared" si="3"/>
        <v>43539.86612</v>
      </c>
      <c r="M196" s="27"/>
      <c r="N196" s="18"/>
      <c r="O196" s="18"/>
      <c r="P196" s="18"/>
      <c r="Q196" s="18"/>
      <c r="R196" s="18"/>
      <c r="S196" s="18"/>
      <c r="T196" s="18"/>
      <c r="U196" s="18"/>
      <c r="V196" s="18"/>
      <c r="W196" s="25"/>
      <c r="X196" s="25"/>
      <c r="Y196" s="25"/>
      <c r="Z196" s="25"/>
    </row>
    <row r="197">
      <c r="A197" s="28"/>
      <c r="B197" s="19">
        <v>41104.0</v>
      </c>
      <c r="C197" s="20">
        <v>28.0</v>
      </c>
      <c r="D197" s="26">
        <v>196.0</v>
      </c>
      <c r="E197" s="34">
        <f t="shared" si="22"/>
        <v>7104.451613</v>
      </c>
      <c r="F197" s="34">
        <f t="shared" si="20"/>
        <v>0.03333333333</v>
      </c>
      <c r="G197" s="35">
        <f t="shared" si="21"/>
        <v>7084.114337</v>
      </c>
      <c r="H197" s="32"/>
      <c r="I197" s="34">
        <f t="shared" si="1"/>
        <v>28</v>
      </c>
      <c r="J197" s="32"/>
      <c r="K197" s="27"/>
      <c r="L197" s="9">
        <f t="shared" si="3"/>
        <v>43539.86612</v>
      </c>
      <c r="M197" s="27"/>
      <c r="N197" s="18"/>
      <c r="O197" s="18"/>
      <c r="P197" s="18"/>
      <c r="Q197" s="18"/>
      <c r="R197" s="18"/>
      <c r="S197" s="18"/>
      <c r="T197" s="18"/>
      <c r="U197" s="18"/>
      <c r="V197" s="18"/>
      <c r="W197" s="25"/>
      <c r="X197" s="25"/>
      <c r="Y197" s="25"/>
      <c r="Z197" s="25"/>
    </row>
    <row r="198">
      <c r="A198" s="13"/>
      <c r="B198" s="19">
        <v>41105.0</v>
      </c>
      <c r="C198" s="20">
        <v>29.0</v>
      </c>
      <c r="D198" s="26">
        <v>197.0</v>
      </c>
      <c r="E198" s="34">
        <f t="shared" si="22"/>
        <v>7104.451613</v>
      </c>
      <c r="F198" s="34">
        <v>1.0</v>
      </c>
      <c r="G198" s="35">
        <f>E198</f>
        <v>7104.451613</v>
      </c>
      <c r="H198" s="32"/>
      <c r="I198" s="34">
        <f t="shared" si="1"/>
        <v>29</v>
      </c>
      <c r="J198" s="35">
        <f>SUM(G198:G204)</f>
        <v>49495.41935</v>
      </c>
      <c r="K198" s="24">
        <v>49495.41935</v>
      </c>
      <c r="L198" s="9">
        <f t="shared" si="3"/>
        <v>43539.86612</v>
      </c>
      <c r="M198" s="24">
        <v>43539.86612</v>
      </c>
      <c r="N198" s="25">
        <v>12625.26301</v>
      </c>
      <c r="O198" s="25">
        <v>11930.76756</v>
      </c>
      <c r="P198" s="25">
        <v>2870.074562</v>
      </c>
      <c r="Q198" s="25">
        <v>20675.49098</v>
      </c>
      <c r="R198" s="18"/>
      <c r="S198" s="25">
        <v>11706.57878</v>
      </c>
      <c r="T198" s="25">
        <v>10594.06562</v>
      </c>
      <c r="U198" s="25">
        <v>2520.069312</v>
      </c>
      <c r="V198" s="25">
        <v>18239.2357</v>
      </c>
      <c r="W198" s="25">
        <v>918.6842279</v>
      </c>
      <c r="X198" s="25">
        <v>1336.701941</v>
      </c>
      <c r="Y198" s="25">
        <v>350.0052501</v>
      </c>
      <c r="Z198" s="25">
        <v>2436.255276</v>
      </c>
    </row>
    <row r="199">
      <c r="A199" s="13"/>
      <c r="B199" s="19">
        <v>41106.0</v>
      </c>
      <c r="C199" s="20">
        <v>29.0</v>
      </c>
      <c r="D199" s="26">
        <v>198.0</v>
      </c>
      <c r="E199" s="34">
        <f t="shared" si="22"/>
        <v>7104.451613</v>
      </c>
      <c r="F199" s="34">
        <f t="shared" ref="F199:F228" si="23">abs((D199-228)/(228-197))</f>
        <v>0.9677419355</v>
      </c>
      <c r="G199" s="35">
        <f t="shared" ref="G199:G228" si="24">E184*F199+(1-F199)*E215</f>
        <v>7093.225806</v>
      </c>
      <c r="H199" s="32"/>
      <c r="I199" s="34">
        <f t="shared" si="1"/>
        <v>29</v>
      </c>
      <c r="J199" s="32"/>
      <c r="K199" s="27"/>
      <c r="L199" s="9">
        <f t="shared" si="3"/>
        <v>43539.86612</v>
      </c>
      <c r="M199" s="27"/>
      <c r="N199" s="18"/>
      <c r="O199" s="18"/>
      <c r="P199" s="18"/>
      <c r="Q199" s="18"/>
      <c r="R199" s="18"/>
      <c r="S199" s="18"/>
      <c r="T199" s="18"/>
      <c r="U199" s="18"/>
      <c r="V199" s="18"/>
      <c r="W199" s="25"/>
      <c r="X199" s="25"/>
      <c r="Y199" s="25"/>
      <c r="Z199" s="25"/>
    </row>
    <row r="200">
      <c r="A200" s="28"/>
      <c r="B200" s="19">
        <v>41107.0</v>
      </c>
      <c r="C200" s="20">
        <v>29.0</v>
      </c>
      <c r="D200" s="26">
        <v>199.0</v>
      </c>
      <c r="E200" s="34">
        <f t="shared" si="22"/>
        <v>7104.451613</v>
      </c>
      <c r="F200" s="34">
        <f t="shared" si="23"/>
        <v>0.935483871</v>
      </c>
      <c r="G200" s="35">
        <f t="shared" si="24"/>
        <v>7082</v>
      </c>
      <c r="H200" s="32"/>
      <c r="I200" s="34">
        <f t="shared" si="1"/>
        <v>29</v>
      </c>
      <c r="J200" s="32"/>
      <c r="K200" s="27"/>
      <c r="L200" s="9">
        <f t="shared" si="3"/>
        <v>43539.86612</v>
      </c>
      <c r="M200" s="27"/>
      <c r="N200" s="18"/>
      <c r="O200" s="18"/>
      <c r="P200" s="18"/>
      <c r="Q200" s="18"/>
      <c r="R200" s="18"/>
      <c r="S200" s="18"/>
      <c r="T200" s="18"/>
      <c r="U200" s="18"/>
      <c r="V200" s="18"/>
      <c r="W200" s="25"/>
      <c r="X200" s="25"/>
      <c r="Y200" s="25"/>
      <c r="Z200" s="25"/>
    </row>
    <row r="201">
      <c r="A201" s="28"/>
      <c r="B201" s="19">
        <v>41108.0</v>
      </c>
      <c r="C201" s="20">
        <v>29.0</v>
      </c>
      <c r="D201" s="26">
        <v>200.0</v>
      </c>
      <c r="E201" s="34">
        <f t="shared" si="22"/>
        <v>7104.451613</v>
      </c>
      <c r="F201" s="34">
        <f t="shared" si="23"/>
        <v>0.9032258065</v>
      </c>
      <c r="G201" s="35">
        <f t="shared" si="24"/>
        <v>7070.774194</v>
      </c>
      <c r="H201" s="32"/>
      <c r="I201" s="34">
        <f t="shared" si="1"/>
        <v>29</v>
      </c>
      <c r="J201" s="32"/>
      <c r="K201" s="27"/>
      <c r="L201" s="9">
        <f t="shared" si="3"/>
        <v>43539.86612</v>
      </c>
      <c r="M201" s="27"/>
      <c r="N201" s="18"/>
      <c r="O201" s="18"/>
      <c r="P201" s="18"/>
      <c r="Q201" s="18"/>
      <c r="R201" s="18"/>
      <c r="S201" s="18"/>
      <c r="T201" s="18"/>
      <c r="U201" s="18"/>
      <c r="V201" s="18"/>
      <c r="W201" s="25"/>
      <c r="X201" s="25"/>
      <c r="Y201" s="25"/>
      <c r="Z201" s="25"/>
    </row>
    <row r="202">
      <c r="A202" s="28"/>
      <c r="B202" s="19">
        <v>41109.0</v>
      </c>
      <c r="C202" s="20">
        <v>29.0</v>
      </c>
      <c r="D202" s="26">
        <v>201.0</v>
      </c>
      <c r="E202" s="34">
        <f t="shared" si="22"/>
        <v>7104.451613</v>
      </c>
      <c r="F202" s="34">
        <f t="shared" si="23"/>
        <v>0.8709677419</v>
      </c>
      <c r="G202" s="35">
        <f t="shared" si="24"/>
        <v>7059.548387</v>
      </c>
      <c r="H202" s="32"/>
      <c r="I202" s="34">
        <f t="shared" si="1"/>
        <v>29</v>
      </c>
      <c r="J202" s="32"/>
      <c r="K202" s="27"/>
      <c r="L202" s="9">
        <f t="shared" si="3"/>
        <v>43539.86612</v>
      </c>
      <c r="M202" s="27"/>
      <c r="N202" s="18"/>
      <c r="O202" s="18"/>
      <c r="P202" s="18"/>
      <c r="Q202" s="18"/>
      <c r="R202" s="18"/>
      <c r="S202" s="18"/>
      <c r="T202" s="18"/>
      <c r="U202" s="18"/>
      <c r="V202" s="18"/>
      <c r="W202" s="25"/>
      <c r="X202" s="25"/>
      <c r="Y202" s="25"/>
      <c r="Z202" s="25"/>
    </row>
    <row r="203">
      <c r="A203" s="28"/>
      <c r="B203" s="19">
        <v>41110.0</v>
      </c>
      <c r="C203" s="20">
        <v>29.0</v>
      </c>
      <c r="D203" s="26">
        <v>202.0</v>
      </c>
      <c r="E203" s="34">
        <f t="shared" si="22"/>
        <v>7104.451613</v>
      </c>
      <c r="F203" s="34">
        <f t="shared" si="23"/>
        <v>0.8387096774</v>
      </c>
      <c r="G203" s="35">
        <f t="shared" si="24"/>
        <v>7048.322581</v>
      </c>
      <c r="H203" s="32"/>
      <c r="I203" s="34">
        <f t="shared" si="1"/>
        <v>29</v>
      </c>
      <c r="J203" s="32"/>
      <c r="K203" s="27"/>
      <c r="L203" s="9">
        <f t="shared" si="3"/>
        <v>43539.86612</v>
      </c>
      <c r="M203" s="27"/>
      <c r="N203" s="18"/>
      <c r="O203" s="18"/>
      <c r="P203" s="18"/>
      <c r="Q203" s="18"/>
      <c r="R203" s="18"/>
      <c r="S203" s="18"/>
      <c r="T203" s="18"/>
      <c r="U203" s="18"/>
      <c r="V203" s="18"/>
      <c r="W203" s="25"/>
      <c r="X203" s="25"/>
      <c r="Y203" s="25"/>
      <c r="Z203" s="25"/>
    </row>
    <row r="204">
      <c r="A204" s="28"/>
      <c r="B204" s="19">
        <v>41111.0</v>
      </c>
      <c r="C204" s="20">
        <v>29.0</v>
      </c>
      <c r="D204" s="26">
        <v>203.0</v>
      </c>
      <c r="E204" s="34">
        <f t="shared" si="22"/>
        <v>7104.451613</v>
      </c>
      <c r="F204" s="34">
        <f t="shared" si="23"/>
        <v>0.8064516129</v>
      </c>
      <c r="G204" s="35">
        <f t="shared" si="24"/>
        <v>7037.096774</v>
      </c>
      <c r="H204" s="32"/>
      <c r="I204" s="34">
        <f t="shared" si="1"/>
        <v>29</v>
      </c>
      <c r="J204" s="32"/>
      <c r="K204" s="27"/>
      <c r="L204" s="9">
        <f t="shared" si="3"/>
        <v>43539.86612</v>
      </c>
      <c r="M204" s="27"/>
      <c r="N204" s="18"/>
      <c r="O204" s="18"/>
      <c r="P204" s="18"/>
      <c r="Q204" s="18"/>
      <c r="R204" s="18"/>
      <c r="S204" s="18"/>
      <c r="T204" s="18"/>
      <c r="U204" s="18"/>
      <c r="V204" s="18"/>
      <c r="W204" s="25"/>
      <c r="X204" s="25"/>
      <c r="Y204" s="25"/>
      <c r="Z204" s="25"/>
    </row>
    <row r="205">
      <c r="A205" s="28"/>
      <c r="B205" s="19">
        <v>41112.0</v>
      </c>
      <c r="C205" s="20">
        <v>30.0</v>
      </c>
      <c r="D205" s="26">
        <v>204.0</v>
      </c>
      <c r="E205" s="34">
        <f t="shared" si="22"/>
        <v>7104.451613</v>
      </c>
      <c r="F205" s="34">
        <f t="shared" si="23"/>
        <v>0.7741935484</v>
      </c>
      <c r="G205" s="35">
        <f t="shared" si="24"/>
        <v>7025.870968</v>
      </c>
      <c r="H205" s="32"/>
      <c r="I205" s="34">
        <f t="shared" si="1"/>
        <v>30</v>
      </c>
      <c r="J205" s="35">
        <f>SUM(G205:G211)</f>
        <v>48945.35484</v>
      </c>
      <c r="K205" s="24">
        <v>48945.35484</v>
      </c>
      <c r="L205" s="9">
        <f t="shared" si="3"/>
        <v>43539.86612</v>
      </c>
      <c r="M205" s="24">
        <v>43539.86612</v>
      </c>
      <c r="N205" s="25">
        <v>13534.18767</v>
      </c>
      <c r="O205" s="25">
        <v>11957.04343</v>
      </c>
      <c r="P205" s="25">
        <v>3070.203375</v>
      </c>
      <c r="Q205" s="25">
        <v>21977.66902</v>
      </c>
      <c r="R205" s="18"/>
      <c r="S205" s="25">
        <v>11123.21067</v>
      </c>
      <c r="T205" s="25">
        <v>10213.75639</v>
      </c>
      <c r="U205" s="25">
        <v>2611.717095</v>
      </c>
      <c r="V205" s="25">
        <v>19574.96656</v>
      </c>
      <c r="W205" s="25">
        <v>2410.977005</v>
      </c>
      <c r="X205" s="25">
        <v>1743.287045</v>
      </c>
      <c r="Y205" s="25">
        <v>458.4862798</v>
      </c>
      <c r="Z205" s="25">
        <v>2402.702467</v>
      </c>
    </row>
    <row r="206">
      <c r="A206" s="28"/>
      <c r="B206" s="19">
        <v>41113.0</v>
      </c>
      <c r="C206" s="20">
        <v>30.0</v>
      </c>
      <c r="D206" s="26">
        <v>205.0</v>
      </c>
      <c r="E206" s="34">
        <f t="shared" si="22"/>
        <v>7104.451613</v>
      </c>
      <c r="F206" s="34">
        <f t="shared" si="23"/>
        <v>0.7419354839</v>
      </c>
      <c r="G206" s="35">
        <f t="shared" si="24"/>
        <v>7014.645161</v>
      </c>
      <c r="H206" s="32"/>
      <c r="I206" s="34">
        <f t="shared" si="1"/>
        <v>30</v>
      </c>
      <c r="J206" s="32"/>
      <c r="K206" s="27"/>
      <c r="L206" s="9">
        <f t="shared" si="3"/>
        <v>43539.86612</v>
      </c>
      <c r="M206" s="27"/>
      <c r="N206" s="18"/>
      <c r="O206" s="18"/>
      <c r="P206" s="18"/>
      <c r="Q206" s="18"/>
      <c r="R206" s="18"/>
      <c r="S206" s="18"/>
      <c r="T206" s="18"/>
      <c r="U206" s="18"/>
      <c r="V206" s="18"/>
      <c r="W206" s="25"/>
      <c r="X206" s="25"/>
      <c r="Y206" s="25"/>
      <c r="Z206" s="25"/>
    </row>
    <row r="207">
      <c r="A207" s="28"/>
      <c r="B207" s="19">
        <v>41114.0</v>
      </c>
      <c r="C207" s="20">
        <v>30.0</v>
      </c>
      <c r="D207" s="26">
        <v>206.0</v>
      </c>
      <c r="E207" s="34">
        <f t="shared" si="22"/>
        <v>7104.451613</v>
      </c>
      <c r="F207" s="34">
        <f t="shared" si="23"/>
        <v>0.7096774194</v>
      </c>
      <c r="G207" s="35">
        <f t="shared" si="24"/>
        <v>7003.419355</v>
      </c>
      <c r="H207" s="32"/>
      <c r="I207" s="34">
        <f t="shared" si="1"/>
        <v>30</v>
      </c>
      <c r="J207" s="32"/>
      <c r="K207" s="27"/>
      <c r="L207" s="9">
        <f t="shared" si="3"/>
        <v>43539.86612</v>
      </c>
      <c r="M207" s="27"/>
      <c r="N207" s="18"/>
      <c r="O207" s="18"/>
      <c r="P207" s="18"/>
      <c r="Q207" s="18"/>
      <c r="R207" s="18"/>
      <c r="S207" s="18"/>
      <c r="T207" s="18"/>
      <c r="U207" s="18"/>
      <c r="V207" s="18"/>
      <c r="W207" s="25"/>
      <c r="X207" s="25"/>
      <c r="Y207" s="25"/>
      <c r="Z207" s="25"/>
    </row>
    <row r="208">
      <c r="A208" s="28"/>
      <c r="B208" s="19">
        <v>41115.0</v>
      </c>
      <c r="C208" s="20">
        <v>30.0</v>
      </c>
      <c r="D208" s="26">
        <v>207.0</v>
      </c>
      <c r="E208" s="34">
        <f t="shared" si="22"/>
        <v>7104.451613</v>
      </c>
      <c r="F208" s="34">
        <f t="shared" si="23"/>
        <v>0.6774193548</v>
      </c>
      <c r="G208" s="35">
        <f t="shared" si="24"/>
        <v>6992.193548</v>
      </c>
      <c r="H208" s="32"/>
      <c r="I208" s="34">
        <f t="shared" si="1"/>
        <v>30</v>
      </c>
      <c r="J208" s="32"/>
      <c r="K208" s="27"/>
      <c r="L208" s="9">
        <f t="shared" si="3"/>
        <v>43539.86612</v>
      </c>
      <c r="M208" s="27"/>
      <c r="N208" s="18"/>
      <c r="O208" s="18"/>
      <c r="P208" s="18"/>
      <c r="Q208" s="18"/>
      <c r="R208" s="18"/>
      <c r="S208" s="18"/>
      <c r="T208" s="18"/>
      <c r="U208" s="18"/>
      <c r="V208" s="18"/>
      <c r="W208" s="25"/>
      <c r="X208" s="25"/>
      <c r="Y208" s="25"/>
      <c r="Z208" s="25"/>
    </row>
    <row r="209">
      <c r="A209" s="28"/>
      <c r="B209" s="19">
        <v>41116.0</v>
      </c>
      <c r="C209" s="20">
        <v>30.0</v>
      </c>
      <c r="D209" s="26">
        <v>208.0</v>
      </c>
      <c r="E209" s="34">
        <f t="shared" si="22"/>
        <v>7104.451613</v>
      </c>
      <c r="F209" s="34">
        <f t="shared" si="23"/>
        <v>0.6451612903</v>
      </c>
      <c r="G209" s="35">
        <f t="shared" si="24"/>
        <v>6980.967742</v>
      </c>
      <c r="H209" s="32"/>
      <c r="I209" s="34">
        <f t="shared" si="1"/>
        <v>30</v>
      </c>
      <c r="J209" s="32"/>
      <c r="K209" s="27"/>
      <c r="L209" s="9">
        <f t="shared" si="3"/>
        <v>43539.86612</v>
      </c>
      <c r="M209" s="27"/>
      <c r="N209" s="18"/>
      <c r="O209" s="18"/>
      <c r="P209" s="18"/>
      <c r="Q209" s="18"/>
      <c r="R209" s="18"/>
      <c r="S209" s="18"/>
      <c r="T209" s="18"/>
      <c r="U209" s="18"/>
      <c r="V209" s="18"/>
      <c r="W209" s="25"/>
      <c r="X209" s="25"/>
      <c r="Y209" s="25"/>
      <c r="Z209" s="25"/>
    </row>
    <row r="210">
      <c r="A210" s="28"/>
      <c r="B210" s="19">
        <v>41117.0</v>
      </c>
      <c r="C210" s="20">
        <v>30.0</v>
      </c>
      <c r="D210" s="26">
        <v>209.0</v>
      </c>
      <c r="E210" s="34">
        <f t="shared" si="22"/>
        <v>7104.451613</v>
      </c>
      <c r="F210" s="34">
        <f t="shared" si="23"/>
        <v>0.6129032258</v>
      </c>
      <c r="G210" s="35">
        <f t="shared" si="24"/>
        <v>6969.741935</v>
      </c>
      <c r="H210" s="32"/>
      <c r="I210" s="34">
        <f t="shared" si="1"/>
        <v>30</v>
      </c>
      <c r="J210" s="32"/>
      <c r="K210" s="27"/>
      <c r="L210" s="9">
        <f t="shared" si="3"/>
        <v>43539.86612</v>
      </c>
      <c r="M210" s="27"/>
      <c r="N210" s="18"/>
      <c r="O210" s="18"/>
      <c r="P210" s="18"/>
      <c r="Q210" s="18"/>
      <c r="R210" s="18"/>
      <c r="S210" s="18"/>
      <c r="T210" s="18"/>
      <c r="U210" s="18"/>
      <c r="V210" s="18"/>
      <c r="W210" s="25"/>
      <c r="X210" s="25"/>
      <c r="Y210" s="25"/>
      <c r="Z210" s="25"/>
    </row>
    <row r="211">
      <c r="A211" s="28"/>
      <c r="B211" s="19">
        <v>41118.0</v>
      </c>
      <c r="C211" s="20">
        <v>30.0</v>
      </c>
      <c r="D211" s="26">
        <v>210.0</v>
      </c>
      <c r="E211" s="34">
        <f t="shared" si="22"/>
        <v>7104.451613</v>
      </c>
      <c r="F211" s="34">
        <f t="shared" si="23"/>
        <v>0.5806451613</v>
      </c>
      <c r="G211" s="35">
        <f t="shared" si="24"/>
        <v>6958.516129</v>
      </c>
      <c r="H211" s="32"/>
      <c r="I211" s="34">
        <f t="shared" si="1"/>
        <v>30</v>
      </c>
      <c r="J211" s="32"/>
      <c r="K211" s="27"/>
      <c r="L211" s="9">
        <f t="shared" si="3"/>
        <v>43539.86612</v>
      </c>
      <c r="M211" s="27"/>
      <c r="N211" s="18"/>
      <c r="O211" s="18"/>
      <c r="P211" s="18"/>
      <c r="Q211" s="18"/>
      <c r="R211" s="18"/>
      <c r="S211" s="18"/>
      <c r="T211" s="18"/>
      <c r="U211" s="18"/>
      <c r="V211" s="18"/>
      <c r="W211" s="25"/>
      <c r="X211" s="25"/>
      <c r="Y211" s="25"/>
      <c r="Z211" s="25"/>
    </row>
    <row r="212">
      <c r="A212" s="28"/>
      <c r="B212" s="19">
        <v>41119.0</v>
      </c>
      <c r="C212" s="20">
        <v>31.0</v>
      </c>
      <c r="D212" s="26">
        <v>211.0</v>
      </c>
      <c r="E212" s="34">
        <f t="shared" si="22"/>
        <v>7104.451613</v>
      </c>
      <c r="F212" s="34">
        <f t="shared" si="23"/>
        <v>0.5483870968</v>
      </c>
      <c r="G212" s="35">
        <f t="shared" si="24"/>
        <v>6947.290323</v>
      </c>
      <c r="H212" s="32"/>
      <c r="I212" s="34">
        <f t="shared" si="1"/>
        <v>31</v>
      </c>
      <c r="J212" s="35">
        <f>SUM(G212:G218)</f>
        <v>48395.29032</v>
      </c>
      <c r="K212" s="24">
        <v>48395.29032</v>
      </c>
      <c r="L212" s="9">
        <f t="shared" si="3"/>
        <v>43539.86612</v>
      </c>
      <c r="M212" s="24">
        <v>43539.86612</v>
      </c>
      <c r="N212" s="25">
        <v>12972.35884</v>
      </c>
      <c r="O212" s="25">
        <v>10929.79317</v>
      </c>
      <c r="P212" s="25">
        <v>2845.984339</v>
      </c>
      <c r="Q212" s="25">
        <v>20211.77477</v>
      </c>
      <c r="R212" s="18"/>
      <c r="S212" s="25">
        <v>11426.3038</v>
      </c>
      <c r="T212" s="25">
        <v>10627.70492</v>
      </c>
      <c r="U212" s="25">
        <v>2582.722402</v>
      </c>
      <c r="V212" s="25">
        <v>18091.31923</v>
      </c>
      <c r="W212" s="25">
        <v>1546.055045</v>
      </c>
      <c r="X212" s="25">
        <v>302.0882507</v>
      </c>
      <c r="Y212" s="25">
        <v>263.2619375</v>
      </c>
      <c r="Z212" s="25">
        <v>2120.455535</v>
      </c>
    </row>
    <row r="213">
      <c r="A213" s="28"/>
      <c r="B213" s="19">
        <v>41120.0</v>
      </c>
      <c r="C213" s="20">
        <v>31.0</v>
      </c>
      <c r="D213" s="26">
        <v>212.0</v>
      </c>
      <c r="E213" s="34">
        <f t="shared" si="22"/>
        <v>7104.451613</v>
      </c>
      <c r="F213" s="34">
        <f t="shared" si="23"/>
        <v>0.5161290323</v>
      </c>
      <c r="G213" s="35">
        <f t="shared" si="24"/>
        <v>6936.064516</v>
      </c>
      <c r="H213" s="32"/>
      <c r="I213" s="34">
        <f t="shared" si="1"/>
        <v>31</v>
      </c>
      <c r="J213" s="32"/>
      <c r="K213" s="27"/>
      <c r="L213" s="9">
        <f t="shared" si="3"/>
        <v>43539.86612</v>
      </c>
      <c r="M213" s="27"/>
      <c r="N213" s="18"/>
      <c r="O213" s="18"/>
      <c r="P213" s="18"/>
      <c r="Q213" s="18"/>
      <c r="R213" s="18"/>
      <c r="S213" s="18"/>
      <c r="T213" s="18"/>
      <c r="U213" s="18"/>
      <c r="V213" s="18"/>
      <c r="W213" s="25"/>
      <c r="X213" s="25"/>
      <c r="Y213" s="25"/>
      <c r="Z213" s="25"/>
    </row>
    <row r="214">
      <c r="A214" s="28"/>
      <c r="B214" s="19">
        <v>41121.0</v>
      </c>
      <c r="C214" s="20">
        <v>31.0</v>
      </c>
      <c r="D214" s="26">
        <v>213.0</v>
      </c>
      <c r="E214" s="34">
        <f t="shared" si="22"/>
        <v>7104.451613</v>
      </c>
      <c r="F214" s="34">
        <f t="shared" si="23"/>
        <v>0.4838709677</v>
      </c>
      <c r="G214" s="35">
        <f t="shared" si="24"/>
        <v>6924.83871</v>
      </c>
      <c r="H214" s="32"/>
      <c r="I214" s="34">
        <f t="shared" si="1"/>
        <v>31</v>
      </c>
      <c r="J214" s="32"/>
      <c r="K214" s="27"/>
      <c r="L214" s="9">
        <f t="shared" si="3"/>
        <v>43539.86612</v>
      </c>
      <c r="M214" s="27"/>
      <c r="N214" s="18"/>
      <c r="O214" s="18"/>
      <c r="P214" s="18"/>
      <c r="Q214" s="18"/>
      <c r="R214" s="18"/>
      <c r="S214" s="18"/>
      <c r="T214" s="18"/>
      <c r="U214" s="18"/>
      <c r="V214" s="18"/>
      <c r="W214" s="25"/>
      <c r="X214" s="25"/>
      <c r="Y214" s="25"/>
      <c r="Z214" s="25"/>
    </row>
    <row r="215">
      <c r="A215" s="13" t="s">
        <v>71</v>
      </c>
      <c r="B215" s="19">
        <v>41122.0</v>
      </c>
      <c r="C215" s="20">
        <v>31.0</v>
      </c>
      <c r="D215" s="26">
        <v>214.0</v>
      </c>
      <c r="E215" s="34">
        <f>A216/31</f>
        <v>6756.451613</v>
      </c>
      <c r="F215" s="34">
        <f t="shared" si="23"/>
        <v>0.4516129032</v>
      </c>
      <c r="G215" s="35">
        <f t="shared" si="24"/>
        <v>6913.612903</v>
      </c>
      <c r="H215" s="32"/>
      <c r="I215" s="34">
        <f t="shared" si="1"/>
        <v>31</v>
      </c>
      <c r="J215" s="32"/>
      <c r="K215" s="27"/>
      <c r="L215" s="9">
        <f t="shared" si="3"/>
        <v>43539.86612</v>
      </c>
      <c r="M215" s="27"/>
      <c r="N215" s="18"/>
      <c r="O215" s="18"/>
      <c r="P215" s="18"/>
      <c r="Q215" s="18"/>
      <c r="R215" s="18"/>
      <c r="S215" s="18"/>
      <c r="T215" s="18"/>
      <c r="U215" s="18"/>
      <c r="V215" s="18"/>
      <c r="W215" s="25"/>
      <c r="X215" s="25"/>
      <c r="Y215" s="25"/>
      <c r="Z215" s="25"/>
    </row>
    <row r="216">
      <c r="A216" s="20">
        <v>209450.0</v>
      </c>
      <c r="B216" s="19">
        <v>41123.0</v>
      </c>
      <c r="C216" s="20">
        <v>31.0</v>
      </c>
      <c r="D216" s="26">
        <v>215.0</v>
      </c>
      <c r="E216" s="34">
        <f t="shared" ref="E216:E245" si="25">E215</f>
        <v>6756.451613</v>
      </c>
      <c r="F216" s="34">
        <f t="shared" si="23"/>
        <v>0.4193548387</v>
      </c>
      <c r="G216" s="35">
        <f t="shared" si="24"/>
        <v>6902.387097</v>
      </c>
      <c r="H216" s="32"/>
      <c r="I216" s="34">
        <f t="shared" si="1"/>
        <v>31</v>
      </c>
      <c r="J216" s="32"/>
      <c r="K216" s="27"/>
      <c r="L216" s="9">
        <f t="shared" si="3"/>
        <v>43539.86612</v>
      </c>
      <c r="M216" s="27"/>
      <c r="N216" s="18"/>
      <c r="O216" s="18"/>
      <c r="P216" s="18"/>
      <c r="Q216" s="18"/>
      <c r="R216" s="18"/>
      <c r="S216" s="18"/>
      <c r="T216" s="18"/>
      <c r="U216" s="18"/>
      <c r="V216" s="18"/>
      <c r="W216" s="25"/>
      <c r="X216" s="25"/>
      <c r="Y216" s="25"/>
      <c r="Z216" s="25"/>
    </row>
    <row r="217">
      <c r="A217" s="28"/>
      <c r="B217" s="19">
        <v>41124.0</v>
      </c>
      <c r="C217" s="20">
        <v>31.0</v>
      </c>
      <c r="D217" s="26">
        <v>216.0</v>
      </c>
      <c r="E217" s="34">
        <f t="shared" si="25"/>
        <v>6756.451613</v>
      </c>
      <c r="F217" s="34">
        <f t="shared" si="23"/>
        <v>0.3870967742</v>
      </c>
      <c r="G217" s="35">
        <f t="shared" si="24"/>
        <v>6891.16129</v>
      </c>
      <c r="H217" s="32"/>
      <c r="I217" s="34">
        <f t="shared" si="1"/>
        <v>31</v>
      </c>
      <c r="J217" s="32"/>
      <c r="K217" s="27"/>
      <c r="L217" s="9">
        <f t="shared" si="3"/>
        <v>43539.86612</v>
      </c>
      <c r="M217" s="27"/>
      <c r="N217" s="18"/>
      <c r="O217" s="18"/>
      <c r="P217" s="18"/>
      <c r="Q217" s="18"/>
      <c r="R217" s="18"/>
      <c r="S217" s="18"/>
      <c r="T217" s="18"/>
      <c r="U217" s="18"/>
      <c r="V217" s="18"/>
      <c r="W217" s="25"/>
      <c r="X217" s="25"/>
      <c r="Y217" s="25"/>
      <c r="Z217" s="25"/>
    </row>
    <row r="218">
      <c r="A218" s="28"/>
      <c r="B218" s="19">
        <v>41125.0</v>
      </c>
      <c r="C218" s="20">
        <v>31.0</v>
      </c>
      <c r="D218" s="26">
        <v>217.0</v>
      </c>
      <c r="E218" s="34">
        <f t="shared" si="25"/>
        <v>6756.451613</v>
      </c>
      <c r="F218" s="34">
        <f t="shared" si="23"/>
        <v>0.3548387097</v>
      </c>
      <c r="G218" s="35">
        <f t="shared" si="24"/>
        <v>6879.935484</v>
      </c>
      <c r="H218" s="32"/>
      <c r="I218" s="34">
        <f t="shared" si="1"/>
        <v>31</v>
      </c>
      <c r="J218" s="32"/>
      <c r="K218" s="27"/>
      <c r="L218" s="9">
        <f t="shared" si="3"/>
        <v>43539.86612</v>
      </c>
      <c r="M218" s="27"/>
      <c r="N218" s="18"/>
      <c r="O218" s="18"/>
      <c r="P218" s="18"/>
      <c r="Q218" s="18"/>
      <c r="R218" s="18"/>
      <c r="S218" s="18"/>
      <c r="T218" s="18"/>
      <c r="U218" s="18"/>
      <c r="V218" s="18"/>
      <c r="W218" s="25"/>
      <c r="X218" s="25"/>
      <c r="Y218" s="25"/>
      <c r="Z218" s="25"/>
    </row>
    <row r="219">
      <c r="A219" s="28"/>
      <c r="B219" s="19">
        <v>41126.0</v>
      </c>
      <c r="C219" s="20">
        <v>32.0</v>
      </c>
      <c r="D219" s="26">
        <v>218.0</v>
      </c>
      <c r="E219" s="34">
        <f t="shared" si="25"/>
        <v>6756.451613</v>
      </c>
      <c r="F219" s="34">
        <f t="shared" si="23"/>
        <v>0.3225806452</v>
      </c>
      <c r="G219" s="35">
        <f t="shared" si="24"/>
        <v>6868.709677</v>
      </c>
      <c r="H219" s="32"/>
      <c r="I219" s="34">
        <f t="shared" si="1"/>
        <v>32</v>
      </c>
      <c r="J219" s="35">
        <f>SUM(G219:G225)</f>
        <v>47845.22581</v>
      </c>
      <c r="K219" s="24">
        <v>47845.22581</v>
      </c>
      <c r="L219" s="9">
        <f t="shared" si="3"/>
        <v>43539.86612</v>
      </c>
      <c r="M219" s="24">
        <v>43539.86612</v>
      </c>
      <c r="N219" s="25">
        <v>12125.82669</v>
      </c>
      <c r="O219" s="25">
        <v>11855.42508</v>
      </c>
      <c r="P219" s="25">
        <v>3023.943199</v>
      </c>
      <c r="Q219" s="25">
        <v>20140.63428</v>
      </c>
      <c r="R219" s="18"/>
      <c r="S219" s="25">
        <v>11106.41296</v>
      </c>
      <c r="T219" s="25">
        <v>10713.53393</v>
      </c>
      <c r="U219" s="25">
        <v>2767.644235</v>
      </c>
      <c r="V219" s="25">
        <v>19735.37234</v>
      </c>
      <c r="W219" s="25">
        <v>1019.413728</v>
      </c>
      <c r="X219" s="25">
        <v>1141.891156</v>
      </c>
      <c r="Y219" s="25">
        <v>256.2989642</v>
      </c>
      <c r="Z219" s="25">
        <v>405.2619398</v>
      </c>
    </row>
    <row r="220">
      <c r="A220" s="28"/>
      <c r="B220" s="19">
        <v>41127.0</v>
      </c>
      <c r="C220" s="20">
        <v>32.0</v>
      </c>
      <c r="D220" s="26">
        <v>219.0</v>
      </c>
      <c r="E220" s="34">
        <f t="shared" si="25"/>
        <v>6756.451613</v>
      </c>
      <c r="F220" s="34">
        <f t="shared" si="23"/>
        <v>0.2903225806</v>
      </c>
      <c r="G220" s="35">
        <f t="shared" si="24"/>
        <v>6857.483871</v>
      </c>
      <c r="H220" s="32"/>
      <c r="I220" s="34">
        <f t="shared" si="1"/>
        <v>32</v>
      </c>
      <c r="J220" s="32"/>
      <c r="K220" s="27"/>
      <c r="L220" s="9">
        <f t="shared" si="3"/>
        <v>43539.86612</v>
      </c>
      <c r="M220" s="27"/>
      <c r="N220" s="18"/>
      <c r="O220" s="18"/>
      <c r="P220" s="18"/>
      <c r="Q220" s="18"/>
      <c r="R220" s="18"/>
      <c r="S220" s="18"/>
      <c r="T220" s="18"/>
      <c r="U220" s="18"/>
      <c r="V220" s="18"/>
      <c r="W220" s="25"/>
      <c r="X220" s="25"/>
      <c r="Y220" s="25"/>
      <c r="Z220" s="25"/>
    </row>
    <row r="221">
      <c r="A221" s="28"/>
      <c r="B221" s="19">
        <v>41128.0</v>
      </c>
      <c r="C221" s="20">
        <v>32.0</v>
      </c>
      <c r="D221" s="26">
        <v>220.0</v>
      </c>
      <c r="E221" s="34">
        <f t="shared" si="25"/>
        <v>6756.451613</v>
      </c>
      <c r="F221" s="34">
        <f t="shared" si="23"/>
        <v>0.2580645161</v>
      </c>
      <c r="G221" s="35">
        <f t="shared" si="24"/>
        <v>6846.258065</v>
      </c>
      <c r="H221" s="32"/>
      <c r="I221" s="34">
        <f t="shared" si="1"/>
        <v>32</v>
      </c>
      <c r="J221" s="32"/>
      <c r="K221" s="27"/>
      <c r="L221" s="9">
        <f t="shared" si="3"/>
        <v>43539.86612</v>
      </c>
      <c r="M221" s="27"/>
      <c r="N221" s="18"/>
      <c r="O221" s="18"/>
      <c r="P221" s="18"/>
      <c r="Q221" s="18"/>
      <c r="R221" s="18"/>
      <c r="S221" s="18"/>
      <c r="T221" s="18"/>
      <c r="U221" s="18"/>
      <c r="V221" s="18"/>
      <c r="W221" s="25"/>
      <c r="X221" s="25"/>
      <c r="Y221" s="25"/>
      <c r="Z221" s="25"/>
    </row>
    <row r="222">
      <c r="A222" s="28"/>
      <c r="B222" s="19">
        <v>41129.0</v>
      </c>
      <c r="C222" s="20">
        <v>32.0</v>
      </c>
      <c r="D222" s="26">
        <v>221.0</v>
      </c>
      <c r="E222" s="34">
        <f t="shared" si="25"/>
        <v>6756.451613</v>
      </c>
      <c r="F222" s="34">
        <f t="shared" si="23"/>
        <v>0.2258064516</v>
      </c>
      <c r="G222" s="35">
        <f t="shared" si="24"/>
        <v>6835.032258</v>
      </c>
      <c r="H222" s="32"/>
      <c r="I222" s="34">
        <f t="shared" si="1"/>
        <v>32</v>
      </c>
      <c r="J222" s="32"/>
      <c r="K222" s="27"/>
      <c r="L222" s="9">
        <f t="shared" si="3"/>
        <v>43539.86612</v>
      </c>
      <c r="M222" s="27"/>
      <c r="N222" s="18"/>
      <c r="O222" s="18"/>
      <c r="P222" s="18"/>
      <c r="Q222" s="18"/>
      <c r="R222" s="18"/>
      <c r="S222" s="18"/>
      <c r="T222" s="18"/>
      <c r="U222" s="18"/>
      <c r="V222" s="18"/>
      <c r="W222" s="25"/>
      <c r="X222" s="25"/>
      <c r="Y222" s="25"/>
      <c r="Z222" s="25"/>
    </row>
    <row r="223">
      <c r="A223" s="28"/>
      <c r="B223" s="19">
        <v>41130.0</v>
      </c>
      <c r="C223" s="20">
        <v>32.0</v>
      </c>
      <c r="D223" s="26">
        <v>222.0</v>
      </c>
      <c r="E223" s="34">
        <f t="shared" si="25"/>
        <v>6756.451613</v>
      </c>
      <c r="F223" s="34">
        <f t="shared" si="23"/>
        <v>0.1935483871</v>
      </c>
      <c r="G223" s="35">
        <f t="shared" si="24"/>
        <v>6823.806452</v>
      </c>
      <c r="H223" s="32"/>
      <c r="I223" s="34">
        <f t="shared" si="1"/>
        <v>32</v>
      </c>
      <c r="J223" s="32"/>
      <c r="K223" s="27"/>
      <c r="L223" s="9">
        <f t="shared" si="3"/>
        <v>43539.86612</v>
      </c>
      <c r="M223" s="27"/>
      <c r="N223" s="18"/>
      <c r="O223" s="18"/>
      <c r="P223" s="18"/>
      <c r="Q223" s="18"/>
      <c r="R223" s="18"/>
      <c r="S223" s="18"/>
      <c r="T223" s="18"/>
      <c r="U223" s="18"/>
      <c r="V223" s="18"/>
      <c r="W223" s="25"/>
      <c r="X223" s="25"/>
      <c r="Y223" s="25"/>
      <c r="Z223" s="25"/>
    </row>
    <row r="224">
      <c r="A224" s="28"/>
      <c r="B224" s="19">
        <v>41131.0</v>
      </c>
      <c r="C224" s="20">
        <v>32.0</v>
      </c>
      <c r="D224" s="26">
        <v>223.0</v>
      </c>
      <c r="E224" s="34">
        <f t="shared" si="25"/>
        <v>6756.451613</v>
      </c>
      <c r="F224" s="34">
        <f t="shared" si="23"/>
        <v>0.1612903226</v>
      </c>
      <c r="G224" s="35">
        <f t="shared" si="24"/>
        <v>6812.580645</v>
      </c>
      <c r="H224" s="32"/>
      <c r="I224" s="34">
        <f t="shared" si="1"/>
        <v>32</v>
      </c>
      <c r="J224" s="32"/>
      <c r="K224" s="27"/>
      <c r="L224" s="9">
        <f t="shared" si="3"/>
        <v>43539.86612</v>
      </c>
      <c r="M224" s="27"/>
      <c r="N224" s="18"/>
      <c r="O224" s="18"/>
      <c r="P224" s="18"/>
      <c r="Q224" s="18"/>
      <c r="R224" s="18"/>
      <c r="S224" s="18"/>
      <c r="T224" s="18"/>
      <c r="U224" s="18"/>
      <c r="V224" s="18"/>
      <c r="W224" s="25"/>
      <c r="X224" s="25"/>
      <c r="Y224" s="25"/>
      <c r="Z224" s="25"/>
    </row>
    <row r="225">
      <c r="A225" s="28"/>
      <c r="B225" s="19">
        <v>41132.0</v>
      </c>
      <c r="C225" s="20">
        <v>32.0</v>
      </c>
      <c r="D225" s="26">
        <v>224.0</v>
      </c>
      <c r="E225" s="34">
        <f t="shared" si="25"/>
        <v>6756.451613</v>
      </c>
      <c r="F225" s="34">
        <f t="shared" si="23"/>
        <v>0.1290322581</v>
      </c>
      <c r="G225" s="35">
        <f t="shared" si="24"/>
        <v>6801.354839</v>
      </c>
      <c r="H225" s="32"/>
      <c r="I225" s="34">
        <f t="shared" si="1"/>
        <v>32</v>
      </c>
      <c r="J225" s="32"/>
      <c r="K225" s="27"/>
      <c r="L225" s="9">
        <f t="shared" si="3"/>
        <v>43539.86612</v>
      </c>
      <c r="M225" s="27"/>
      <c r="N225" s="18"/>
      <c r="O225" s="18"/>
      <c r="P225" s="18"/>
      <c r="Q225" s="18"/>
      <c r="R225" s="18"/>
      <c r="S225" s="18"/>
      <c r="T225" s="18"/>
      <c r="U225" s="18"/>
      <c r="V225" s="18"/>
      <c r="W225" s="25"/>
      <c r="X225" s="25"/>
      <c r="Y225" s="25"/>
      <c r="Z225" s="25"/>
    </row>
    <row r="226">
      <c r="A226" s="28"/>
      <c r="B226" s="19">
        <v>41133.0</v>
      </c>
      <c r="C226" s="20">
        <v>33.0</v>
      </c>
      <c r="D226" s="26">
        <v>225.0</v>
      </c>
      <c r="E226" s="34">
        <f t="shared" si="25"/>
        <v>6756.451613</v>
      </c>
      <c r="F226" s="34">
        <f t="shared" si="23"/>
        <v>0.09677419355</v>
      </c>
      <c r="G226" s="35">
        <f t="shared" si="24"/>
        <v>6790.129032</v>
      </c>
      <c r="H226" s="32"/>
      <c r="I226" s="34">
        <f t="shared" si="1"/>
        <v>33</v>
      </c>
      <c r="J226" s="35">
        <f>SUM(G226:G232)</f>
        <v>47437.46743</v>
      </c>
      <c r="K226" s="24">
        <v>47437.46743</v>
      </c>
      <c r="L226" s="9">
        <f t="shared" si="3"/>
        <v>43539.86612</v>
      </c>
      <c r="M226" s="24">
        <v>43539.86612</v>
      </c>
      <c r="N226" s="25">
        <v>12972.98833</v>
      </c>
      <c r="O226" s="25">
        <v>11478.30753</v>
      </c>
      <c r="P226" s="25">
        <v>3014.470651</v>
      </c>
      <c r="Q226" s="25">
        <v>20300.28974</v>
      </c>
      <c r="R226" s="18"/>
      <c r="S226" s="25">
        <v>11222.70615</v>
      </c>
      <c r="T226" s="25">
        <v>10211.21618</v>
      </c>
      <c r="U226" s="25">
        <v>2615.346638</v>
      </c>
      <c r="V226" s="25">
        <v>19355.75179</v>
      </c>
      <c r="W226" s="25">
        <v>1750.282171</v>
      </c>
      <c r="X226" s="25">
        <v>1267.091358</v>
      </c>
      <c r="Y226" s="25">
        <v>399.1240127</v>
      </c>
      <c r="Z226" s="25">
        <v>944.5379502</v>
      </c>
    </row>
    <row r="227">
      <c r="A227" s="28"/>
      <c r="B227" s="19">
        <v>41134.0</v>
      </c>
      <c r="C227" s="20">
        <v>33.0</v>
      </c>
      <c r="D227" s="26">
        <v>226.0</v>
      </c>
      <c r="E227" s="34">
        <f t="shared" si="25"/>
        <v>6756.451613</v>
      </c>
      <c r="F227" s="34">
        <f t="shared" si="23"/>
        <v>0.06451612903</v>
      </c>
      <c r="G227" s="35">
        <f t="shared" si="24"/>
        <v>6778.903226</v>
      </c>
      <c r="H227" s="32"/>
      <c r="I227" s="34">
        <f t="shared" si="1"/>
        <v>33</v>
      </c>
      <c r="J227" s="32"/>
      <c r="K227" s="27"/>
      <c r="L227" s="9">
        <f t="shared" si="3"/>
        <v>43539.86612</v>
      </c>
      <c r="M227" s="27"/>
      <c r="N227" s="18"/>
      <c r="O227" s="18"/>
      <c r="P227" s="18"/>
      <c r="Q227" s="18"/>
      <c r="R227" s="18"/>
      <c r="S227" s="18"/>
      <c r="T227" s="18"/>
      <c r="U227" s="18"/>
      <c r="V227" s="18"/>
      <c r="W227" s="25"/>
      <c r="X227" s="25"/>
      <c r="Y227" s="25"/>
      <c r="Z227" s="25"/>
    </row>
    <row r="228">
      <c r="A228" s="28"/>
      <c r="B228" s="19">
        <v>41135.0</v>
      </c>
      <c r="C228" s="20">
        <v>33.0</v>
      </c>
      <c r="D228" s="26">
        <v>227.0</v>
      </c>
      <c r="E228" s="34">
        <f t="shared" si="25"/>
        <v>6756.451613</v>
      </c>
      <c r="F228" s="34">
        <f t="shared" si="23"/>
        <v>0.03225806452</v>
      </c>
      <c r="G228" s="35">
        <f t="shared" si="24"/>
        <v>6767.677419</v>
      </c>
      <c r="H228" s="32"/>
      <c r="I228" s="34">
        <f t="shared" si="1"/>
        <v>33</v>
      </c>
      <c r="J228" s="32"/>
      <c r="K228" s="27"/>
      <c r="L228" s="9">
        <f t="shared" si="3"/>
        <v>43539.86612</v>
      </c>
      <c r="M228" s="27"/>
      <c r="N228" s="18"/>
      <c r="O228" s="18"/>
      <c r="P228" s="18"/>
      <c r="Q228" s="18"/>
      <c r="R228" s="18"/>
      <c r="S228" s="18"/>
      <c r="T228" s="18"/>
      <c r="U228" s="18"/>
      <c r="V228" s="18"/>
      <c r="W228" s="25"/>
      <c r="X228" s="25"/>
      <c r="Y228" s="25"/>
      <c r="Z228" s="25"/>
    </row>
    <row r="229">
      <c r="A229" s="13"/>
      <c r="B229" s="19">
        <v>41136.0</v>
      </c>
      <c r="C229" s="20">
        <v>33.0</v>
      </c>
      <c r="D229" s="26">
        <v>228.0</v>
      </c>
      <c r="E229" s="34">
        <f t="shared" si="25"/>
        <v>6756.451613</v>
      </c>
      <c r="F229" s="34">
        <v>1.0</v>
      </c>
      <c r="G229" s="35">
        <f>E229</f>
        <v>6756.451613</v>
      </c>
      <c r="H229" s="32"/>
      <c r="I229" s="34">
        <f t="shared" si="1"/>
        <v>33</v>
      </c>
      <c r="J229" s="32"/>
      <c r="K229" s="27"/>
      <c r="L229" s="9">
        <f t="shared" si="3"/>
        <v>43539.86612</v>
      </c>
      <c r="M229" s="27"/>
      <c r="N229" s="18"/>
      <c r="O229" s="18"/>
      <c r="P229" s="18"/>
      <c r="Q229" s="18"/>
      <c r="R229" s="18"/>
      <c r="S229" s="18"/>
      <c r="T229" s="18"/>
      <c r="U229" s="18"/>
      <c r="V229" s="18"/>
      <c r="W229" s="25"/>
      <c r="X229" s="25"/>
      <c r="Y229" s="25"/>
      <c r="Z229" s="25"/>
    </row>
    <row r="230">
      <c r="A230" s="13"/>
      <c r="B230" s="19">
        <v>41137.0</v>
      </c>
      <c r="C230" s="20">
        <v>33.0</v>
      </c>
      <c r="D230" s="26">
        <v>229.0</v>
      </c>
      <c r="E230" s="34">
        <f t="shared" si="25"/>
        <v>6756.451613</v>
      </c>
      <c r="F230" s="34">
        <f t="shared" ref="F230:F259" si="26">abs((D230-259)/(259-228))</f>
        <v>0.9677419355</v>
      </c>
      <c r="G230" s="35">
        <f t="shared" ref="G230:G259" si="27">E215*F230+(1-F230)*E246</f>
        <v>6768.943496</v>
      </c>
      <c r="H230" s="32"/>
      <c r="I230" s="34">
        <f t="shared" si="1"/>
        <v>33</v>
      </c>
      <c r="J230" s="32"/>
      <c r="K230" s="27"/>
      <c r="L230" s="9">
        <f t="shared" si="3"/>
        <v>43539.86612</v>
      </c>
      <c r="M230" s="27"/>
      <c r="N230" s="18"/>
      <c r="O230" s="18"/>
      <c r="P230" s="18"/>
      <c r="Q230" s="18"/>
      <c r="R230" s="18"/>
      <c r="S230" s="18"/>
      <c r="T230" s="18"/>
      <c r="U230" s="18"/>
      <c r="V230" s="18"/>
      <c r="W230" s="25"/>
      <c r="X230" s="25"/>
      <c r="Y230" s="25"/>
      <c r="Z230" s="25"/>
    </row>
    <row r="231">
      <c r="A231" s="28"/>
      <c r="B231" s="19">
        <v>41138.0</v>
      </c>
      <c r="C231" s="20">
        <v>33.0</v>
      </c>
      <c r="D231" s="26">
        <v>230.0</v>
      </c>
      <c r="E231" s="34">
        <f t="shared" si="25"/>
        <v>6756.451613</v>
      </c>
      <c r="F231" s="34">
        <f t="shared" si="26"/>
        <v>0.935483871</v>
      </c>
      <c r="G231" s="35">
        <f t="shared" si="27"/>
        <v>6781.43538</v>
      </c>
      <c r="H231" s="32"/>
      <c r="I231" s="34">
        <f t="shared" si="1"/>
        <v>33</v>
      </c>
      <c r="J231" s="32"/>
      <c r="K231" s="27"/>
      <c r="L231" s="9">
        <f t="shared" si="3"/>
        <v>43539.86612</v>
      </c>
      <c r="M231" s="27"/>
      <c r="N231" s="18"/>
      <c r="O231" s="18"/>
      <c r="P231" s="18"/>
      <c r="Q231" s="18"/>
      <c r="R231" s="18"/>
      <c r="S231" s="18"/>
      <c r="T231" s="18"/>
      <c r="U231" s="18"/>
      <c r="V231" s="18"/>
      <c r="W231" s="25"/>
      <c r="X231" s="25"/>
      <c r="Y231" s="25"/>
      <c r="Z231" s="25"/>
    </row>
    <row r="232">
      <c r="A232" s="28"/>
      <c r="B232" s="19">
        <v>41139.0</v>
      </c>
      <c r="C232" s="20">
        <v>33.0</v>
      </c>
      <c r="D232" s="26">
        <v>231.0</v>
      </c>
      <c r="E232" s="34">
        <f t="shared" si="25"/>
        <v>6756.451613</v>
      </c>
      <c r="F232" s="34">
        <f t="shared" si="26"/>
        <v>0.9032258065</v>
      </c>
      <c r="G232" s="35">
        <f t="shared" si="27"/>
        <v>6793.927263</v>
      </c>
      <c r="H232" s="32"/>
      <c r="I232" s="34">
        <f t="shared" si="1"/>
        <v>33</v>
      </c>
      <c r="J232" s="32"/>
      <c r="K232" s="27"/>
      <c r="L232" s="9">
        <f t="shared" si="3"/>
        <v>43539.86612</v>
      </c>
      <c r="M232" s="27"/>
      <c r="N232" s="18"/>
      <c r="O232" s="18"/>
      <c r="P232" s="18"/>
      <c r="Q232" s="18"/>
      <c r="R232" s="18"/>
      <c r="S232" s="18"/>
      <c r="T232" s="18"/>
      <c r="U232" s="18"/>
      <c r="V232" s="18"/>
      <c r="W232" s="25"/>
      <c r="X232" s="25"/>
      <c r="Y232" s="25"/>
      <c r="Z232" s="25"/>
    </row>
    <row r="233">
      <c r="A233" s="28"/>
      <c r="B233" s="19">
        <v>41140.0</v>
      </c>
      <c r="C233" s="20">
        <v>34.0</v>
      </c>
      <c r="D233" s="26">
        <v>232.0</v>
      </c>
      <c r="E233" s="34">
        <f t="shared" si="25"/>
        <v>6756.451613</v>
      </c>
      <c r="F233" s="34">
        <f t="shared" si="26"/>
        <v>0.8709677419</v>
      </c>
      <c r="G233" s="35">
        <f t="shared" si="27"/>
        <v>6806.419147</v>
      </c>
      <c r="H233" s="32"/>
      <c r="I233" s="34">
        <f t="shared" si="1"/>
        <v>34</v>
      </c>
      <c r="J233" s="35">
        <f>SUM(G233:G239)</f>
        <v>47907.26358</v>
      </c>
      <c r="K233" s="24">
        <v>47907.26358</v>
      </c>
      <c r="L233" s="9">
        <f t="shared" si="3"/>
        <v>43539.86612</v>
      </c>
      <c r="M233" s="24">
        <v>43539.86612</v>
      </c>
      <c r="N233" s="25">
        <v>12209.08059</v>
      </c>
      <c r="O233" s="25">
        <v>11797.91239</v>
      </c>
      <c r="P233" s="25">
        <v>3019.847434</v>
      </c>
      <c r="Q233" s="25">
        <v>20179.13914</v>
      </c>
      <c r="R233" s="18"/>
      <c r="S233" s="25">
        <v>11932.62006</v>
      </c>
      <c r="T233" s="25">
        <v>10454.5155</v>
      </c>
      <c r="U233" s="25">
        <v>2627.455432</v>
      </c>
      <c r="V233" s="25">
        <v>18514.86325</v>
      </c>
      <c r="W233" s="25">
        <v>276.4605317</v>
      </c>
      <c r="X233" s="25">
        <v>1343.396884</v>
      </c>
      <c r="Y233" s="25">
        <v>392.3920018</v>
      </c>
      <c r="Z233" s="25">
        <v>1664.275882</v>
      </c>
    </row>
    <row r="234">
      <c r="A234" s="28"/>
      <c r="B234" s="19">
        <v>41141.0</v>
      </c>
      <c r="C234" s="20">
        <v>34.0</v>
      </c>
      <c r="D234" s="26">
        <v>233.0</v>
      </c>
      <c r="E234" s="34">
        <f t="shared" si="25"/>
        <v>6756.451613</v>
      </c>
      <c r="F234" s="34">
        <f t="shared" si="26"/>
        <v>0.8387096774</v>
      </c>
      <c r="G234" s="35">
        <f t="shared" si="27"/>
        <v>6818.91103</v>
      </c>
      <c r="H234" s="32"/>
      <c r="I234" s="34">
        <f t="shared" si="1"/>
        <v>34</v>
      </c>
      <c r="J234" s="32"/>
      <c r="K234" s="27"/>
      <c r="L234" s="9">
        <f t="shared" si="3"/>
        <v>43539.86612</v>
      </c>
      <c r="M234" s="27"/>
      <c r="N234" s="18"/>
      <c r="O234" s="18"/>
      <c r="P234" s="18"/>
      <c r="Q234" s="18"/>
      <c r="R234" s="18"/>
      <c r="S234" s="18"/>
      <c r="T234" s="18"/>
      <c r="U234" s="18"/>
      <c r="V234" s="18"/>
      <c r="W234" s="25"/>
      <c r="X234" s="25"/>
      <c r="Y234" s="25"/>
      <c r="Z234" s="25"/>
    </row>
    <row r="235">
      <c r="A235" s="28"/>
      <c r="B235" s="19">
        <v>41142.0</v>
      </c>
      <c r="C235" s="20">
        <v>34.0</v>
      </c>
      <c r="D235" s="26">
        <v>234.0</v>
      </c>
      <c r="E235" s="34">
        <f t="shared" si="25"/>
        <v>6756.451613</v>
      </c>
      <c r="F235" s="34">
        <f t="shared" si="26"/>
        <v>0.8064516129</v>
      </c>
      <c r="G235" s="35">
        <f t="shared" si="27"/>
        <v>6831.402914</v>
      </c>
      <c r="H235" s="32"/>
      <c r="I235" s="34">
        <f t="shared" si="1"/>
        <v>34</v>
      </c>
      <c r="J235" s="32"/>
      <c r="K235" s="27"/>
      <c r="L235" s="9">
        <f t="shared" si="3"/>
        <v>43539.86612</v>
      </c>
      <c r="M235" s="27"/>
      <c r="N235" s="18"/>
      <c r="O235" s="18"/>
      <c r="P235" s="18"/>
      <c r="Q235" s="18"/>
      <c r="R235" s="18"/>
      <c r="S235" s="18"/>
      <c r="T235" s="18"/>
      <c r="U235" s="18"/>
      <c r="V235" s="18"/>
      <c r="W235" s="25"/>
      <c r="X235" s="25"/>
      <c r="Y235" s="25"/>
      <c r="Z235" s="25"/>
    </row>
    <row r="236">
      <c r="A236" s="28"/>
      <c r="B236" s="19">
        <v>41143.0</v>
      </c>
      <c r="C236" s="20">
        <v>34.0</v>
      </c>
      <c r="D236" s="26">
        <v>235.0</v>
      </c>
      <c r="E236" s="34">
        <f t="shared" si="25"/>
        <v>6756.451613</v>
      </c>
      <c r="F236" s="34">
        <f t="shared" si="26"/>
        <v>0.7741935484</v>
      </c>
      <c r="G236" s="35">
        <f t="shared" si="27"/>
        <v>6843.894797</v>
      </c>
      <c r="H236" s="32"/>
      <c r="I236" s="34">
        <f t="shared" si="1"/>
        <v>34</v>
      </c>
      <c r="J236" s="32"/>
      <c r="K236" s="27"/>
      <c r="L236" s="9">
        <f t="shared" si="3"/>
        <v>43539.86612</v>
      </c>
      <c r="M236" s="27"/>
      <c r="N236" s="18"/>
      <c r="O236" s="18"/>
      <c r="P236" s="18"/>
      <c r="Q236" s="18"/>
      <c r="R236" s="18"/>
      <c r="S236" s="18"/>
      <c r="T236" s="18"/>
      <c r="U236" s="18"/>
      <c r="V236" s="18"/>
      <c r="W236" s="25"/>
      <c r="X236" s="25"/>
      <c r="Y236" s="25"/>
      <c r="Z236" s="25"/>
    </row>
    <row r="237">
      <c r="A237" s="28"/>
      <c r="B237" s="19">
        <v>41144.0</v>
      </c>
      <c r="C237" s="20">
        <v>34.0</v>
      </c>
      <c r="D237" s="26">
        <v>236.0</v>
      </c>
      <c r="E237" s="34">
        <f t="shared" si="25"/>
        <v>6756.451613</v>
      </c>
      <c r="F237" s="34">
        <f t="shared" si="26"/>
        <v>0.7419354839</v>
      </c>
      <c r="G237" s="35">
        <f t="shared" si="27"/>
        <v>6856.386681</v>
      </c>
      <c r="H237" s="32"/>
      <c r="I237" s="34">
        <f t="shared" si="1"/>
        <v>34</v>
      </c>
      <c r="J237" s="32"/>
      <c r="K237" s="27"/>
      <c r="L237" s="9">
        <f t="shared" si="3"/>
        <v>43539.86612</v>
      </c>
      <c r="M237" s="27"/>
      <c r="N237" s="18"/>
      <c r="O237" s="18"/>
      <c r="P237" s="18"/>
      <c r="Q237" s="18"/>
      <c r="R237" s="18"/>
      <c r="S237" s="18"/>
      <c r="T237" s="18"/>
      <c r="U237" s="18"/>
      <c r="V237" s="18"/>
      <c r="W237" s="25"/>
      <c r="X237" s="25"/>
      <c r="Y237" s="25"/>
      <c r="Z237" s="25"/>
    </row>
    <row r="238">
      <c r="A238" s="28"/>
      <c r="B238" s="19">
        <v>41145.0</v>
      </c>
      <c r="C238" s="20">
        <v>34.0</v>
      </c>
      <c r="D238" s="26">
        <v>237.0</v>
      </c>
      <c r="E238" s="34">
        <f t="shared" si="25"/>
        <v>6756.451613</v>
      </c>
      <c r="F238" s="34">
        <f t="shared" si="26"/>
        <v>0.7096774194</v>
      </c>
      <c r="G238" s="35">
        <f t="shared" si="27"/>
        <v>6868.878564</v>
      </c>
      <c r="H238" s="32"/>
      <c r="I238" s="34">
        <f t="shared" si="1"/>
        <v>34</v>
      </c>
      <c r="J238" s="32"/>
      <c r="K238" s="27"/>
      <c r="L238" s="9">
        <f t="shared" si="3"/>
        <v>43539.86612</v>
      </c>
      <c r="M238" s="27"/>
      <c r="N238" s="18"/>
      <c r="O238" s="18"/>
      <c r="P238" s="18"/>
      <c r="Q238" s="18"/>
      <c r="R238" s="18"/>
      <c r="S238" s="18"/>
      <c r="T238" s="18"/>
      <c r="U238" s="18"/>
      <c r="V238" s="18"/>
      <c r="W238" s="25"/>
      <c r="X238" s="25"/>
      <c r="Y238" s="25"/>
      <c r="Z238" s="25"/>
    </row>
    <row r="239">
      <c r="A239" s="28"/>
      <c r="B239" s="19">
        <v>41146.0</v>
      </c>
      <c r="C239" s="20">
        <v>34.0</v>
      </c>
      <c r="D239" s="26">
        <v>238.0</v>
      </c>
      <c r="E239" s="34">
        <f t="shared" si="25"/>
        <v>6756.451613</v>
      </c>
      <c r="F239" s="34">
        <f t="shared" si="26"/>
        <v>0.6774193548</v>
      </c>
      <c r="G239" s="35">
        <f t="shared" si="27"/>
        <v>6881.370447</v>
      </c>
      <c r="H239" s="32"/>
      <c r="I239" s="34">
        <f t="shared" si="1"/>
        <v>34</v>
      </c>
      <c r="J239" s="32"/>
      <c r="K239" s="27"/>
      <c r="L239" s="9">
        <f t="shared" si="3"/>
        <v>43539.86612</v>
      </c>
      <c r="M239" s="27"/>
      <c r="N239" s="18"/>
      <c r="O239" s="18"/>
      <c r="P239" s="18"/>
      <c r="Q239" s="18"/>
      <c r="R239" s="18"/>
      <c r="S239" s="18"/>
      <c r="T239" s="18"/>
      <c r="U239" s="18"/>
      <c r="V239" s="18"/>
      <c r="W239" s="25"/>
      <c r="X239" s="25"/>
      <c r="Y239" s="25"/>
      <c r="Z239" s="25"/>
    </row>
    <row r="240">
      <c r="A240" s="28"/>
      <c r="B240" s="19">
        <v>41147.0</v>
      </c>
      <c r="C240" s="20">
        <v>35.0</v>
      </c>
      <c r="D240" s="26">
        <v>239.0</v>
      </c>
      <c r="E240" s="34">
        <f t="shared" si="25"/>
        <v>6756.451613</v>
      </c>
      <c r="F240" s="34">
        <f t="shared" si="26"/>
        <v>0.6451612903</v>
      </c>
      <c r="G240" s="35">
        <f t="shared" si="27"/>
        <v>6893.862331</v>
      </c>
      <c r="H240" s="32"/>
      <c r="I240" s="34">
        <f t="shared" si="1"/>
        <v>35</v>
      </c>
      <c r="J240" s="35">
        <f>SUM(G240:G246)</f>
        <v>48519.36587</v>
      </c>
      <c r="K240" s="24">
        <v>48519.36587</v>
      </c>
      <c r="L240" s="9">
        <f t="shared" si="3"/>
        <v>43539.86612</v>
      </c>
      <c r="M240" s="24">
        <v>43539.86612</v>
      </c>
      <c r="N240" s="25">
        <v>13509.38928</v>
      </c>
      <c r="O240" s="25">
        <v>11631.35054</v>
      </c>
      <c r="P240" s="25">
        <v>2857.439332</v>
      </c>
      <c r="Q240" s="25">
        <v>21784.08514</v>
      </c>
      <c r="R240" s="18"/>
      <c r="S240" s="25">
        <v>11908.76899</v>
      </c>
      <c r="T240" s="25">
        <v>10037.02818</v>
      </c>
      <c r="U240" s="25">
        <v>2618.332833</v>
      </c>
      <c r="V240" s="25">
        <v>18945.91096</v>
      </c>
      <c r="W240" s="25">
        <v>1600.620295</v>
      </c>
      <c r="X240" s="25">
        <v>1594.322359</v>
      </c>
      <c r="Y240" s="25">
        <v>239.1064987</v>
      </c>
      <c r="Z240" s="25">
        <v>2838.174178</v>
      </c>
    </row>
    <row r="241">
      <c r="A241" s="28"/>
      <c r="B241" s="19">
        <v>41148.0</v>
      </c>
      <c r="C241" s="20">
        <v>35.0</v>
      </c>
      <c r="D241" s="26">
        <v>240.0</v>
      </c>
      <c r="E241" s="34">
        <f t="shared" si="25"/>
        <v>6756.451613</v>
      </c>
      <c r="F241" s="34">
        <f t="shared" si="26"/>
        <v>0.6129032258</v>
      </c>
      <c r="G241" s="35">
        <f t="shared" si="27"/>
        <v>6906.354214</v>
      </c>
      <c r="H241" s="32"/>
      <c r="I241" s="34">
        <f t="shared" si="1"/>
        <v>35</v>
      </c>
      <c r="J241" s="32"/>
      <c r="K241" s="27"/>
      <c r="L241" s="9">
        <f t="shared" si="3"/>
        <v>43539.86612</v>
      </c>
      <c r="M241" s="27"/>
      <c r="N241" s="18"/>
      <c r="O241" s="18"/>
      <c r="P241" s="18"/>
      <c r="Q241" s="18"/>
      <c r="R241" s="18"/>
      <c r="S241" s="18"/>
      <c r="T241" s="18"/>
      <c r="U241" s="18"/>
      <c r="V241" s="18"/>
      <c r="W241" s="25"/>
      <c r="X241" s="25"/>
      <c r="Y241" s="25"/>
      <c r="Z241" s="25"/>
    </row>
    <row r="242">
      <c r="A242" s="28"/>
      <c r="B242" s="19">
        <v>41149.0</v>
      </c>
      <c r="C242" s="20">
        <v>35.0</v>
      </c>
      <c r="D242" s="26">
        <v>241.0</v>
      </c>
      <c r="E242" s="34">
        <f t="shared" si="25"/>
        <v>6756.451613</v>
      </c>
      <c r="F242" s="34">
        <f t="shared" si="26"/>
        <v>0.5806451613</v>
      </c>
      <c r="G242" s="35">
        <f t="shared" si="27"/>
        <v>6918.846098</v>
      </c>
      <c r="H242" s="32"/>
      <c r="I242" s="34">
        <f t="shared" si="1"/>
        <v>35</v>
      </c>
      <c r="J242" s="32"/>
      <c r="K242" s="27"/>
      <c r="L242" s="9">
        <f t="shared" si="3"/>
        <v>43539.86612</v>
      </c>
      <c r="M242" s="27"/>
      <c r="N242" s="18"/>
      <c r="O242" s="18"/>
      <c r="P242" s="18"/>
      <c r="Q242" s="18"/>
      <c r="R242" s="18"/>
      <c r="S242" s="18"/>
      <c r="T242" s="18"/>
      <c r="U242" s="18"/>
      <c r="V242" s="18"/>
      <c r="W242" s="25"/>
      <c r="X242" s="25"/>
      <c r="Y242" s="25"/>
      <c r="Z242" s="25"/>
    </row>
    <row r="243">
      <c r="A243" s="28"/>
      <c r="B243" s="19">
        <v>41150.0</v>
      </c>
      <c r="C243" s="20">
        <v>35.0</v>
      </c>
      <c r="D243" s="26">
        <v>242.0</v>
      </c>
      <c r="E243" s="34">
        <f t="shared" si="25"/>
        <v>6756.451613</v>
      </c>
      <c r="F243" s="34">
        <f t="shared" si="26"/>
        <v>0.5483870968</v>
      </c>
      <c r="G243" s="35">
        <f t="shared" si="27"/>
        <v>6931.337981</v>
      </c>
      <c r="H243" s="32"/>
      <c r="I243" s="34">
        <f t="shared" si="1"/>
        <v>35</v>
      </c>
      <c r="J243" s="32"/>
      <c r="K243" s="27"/>
      <c r="L243" s="9">
        <f t="shared" si="3"/>
        <v>43539.86612</v>
      </c>
      <c r="M243" s="27"/>
      <c r="N243" s="18"/>
      <c r="O243" s="18"/>
      <c r="P243" s="18"/>
      <c r="Q243" s="18"/>
      <c r="R243" s="18"/>
      <c r="S243" s="18"/>
      <c r="T243" s="18"/>
      <c r="U243" s="18"/>
      <c r="V243" s="18"/>
      <c r="W243" s="25"/>
      <c r="X243" s="25"/>
      <c r="Y243" s="25"/>
      <c r="Z243" s="25"/>
    </row>
    <row r="244">
      <c r="A244" s="28"/>
      <c r="B244" s="19">
        <v>41151.0</v>
      </c>
      <c r="C244" s="20">
        <v>35.0</v>
      </c>
      <c r="D244" s="26">
        <v>243.0</v>
      </c>
      <c r="E244" s="34">
        <f t="shared" si="25"/>
        <v>6756.451613</v>
      </c>
      <c r="F244" s="34">
        <f t="shared" si="26"/>
        <v>0.5161290323</v>
      </c>
      <c r="G244" s="35">
        <f t="shared" si="27"/>
        <v>6943.829865</v>
      </c>
      <c r="H244" s="32"/>
      <c r="I244" s="34">
        <f t="shared" si="1"/>
        <v>35</v>
      </c>
      <c r="J244" s="32"/>
      <c r="K244" s="27"/>
      <c r="L244" s="9">
        <f t="shared" si="3"/>
        <v>43539.86612</v>
      </c>
      <c r="M244" s="27"/>
      <c r="N244" s="18"/>
      <c r="O244" s="18"/>
      <c r="P244" s="18"/>
      <c r="Q244" s="18"/>
      <c r="R244" s="18"/>
      <c r="S244" s="18"/>
      <c r="T244" s="18"/>
      <c r="U244" s="18"/>
      <c r="V244" s="18"/>
      <c r="W244" s="25"/>
      <c r="X244" s="25"/>
      <c r="Y244" s="25"/>
      <c r="Z244" s="25"/>
    </row>
    <row r="245">
      <c r="A245" s="28"/>
      <c r="B245" s="19">
        <v>41152.0</v>
      </c>
      <c r="C245" s="20">
        <v>35.0</v>
      </c>
      <c r="D245" s="26">
        <v>244.0</v>
      </c>
      <c r="E245" s="34">
        <f t="shared" si="25"/>
        <v>6756.451613</v>
      </c>
      <c r="F245" s="34">
        <f t="shared" si="26"/>
        <v>0.4838709677</v>
      </c>
      <c r="G245" s="35">
        <f t="shared" si="27"/>
        <v>6956.321748</v>
      </c>
      <c r="H245" s="32"/>
      <c r="I245" s="34">
        <f t="shared" si="1"/>
        <v>35</v>
      </c>
      <c r="J245" s="32"/>
      <c r="K245" s="27"/>
      <c r="L245" s="9">
        <f t="shared" si="3"/>
        <v>43539.86612</v>
      </c>
      <c r="M245" s="27"/>
      <c r="N245" s="18"/>
      <c r="O245" s="18"/>
      <c r="P245" s="18"/>
      <c r="Q245" s="18"/>
      <c r="R245" s="18"/>
      <c r="S245" s="18"/>
      <c r="T245" s="18"/>
      <c r="U245" s="18"/>
      <c r="V245" s="18"/>
      <c r="W245" s="25"/>
      <c r="X245" s="25"/>
      <c r="Y245" s="25"/>
      <c r="Z245" s="25"/>
    </row>
    <row r="246">
      <c r="A246" s="13" t="s">
        <v>72</v>
      </c>
      <c r="B246" s="19">
        <v>41153.0</v>
      </c>
      <c r="C246" s="20">
        <v>35.0</v>
      </c>
      <c r="D246" s="26">
        <v>245.0</v>
      </c>
      <c r="E246" s="34">
        <f>A247/30</f>
        <v>7143.7</v>
      </c>
      <c r="F246" s="34">
        <f t="shared" si="26"/>
        <v>0.4516129032</v>
      </c>
      <c r="G246" s="35">
        <f t="shared" si="27"/>
        <v>6968.813632</v>
      </c>
      <c r="H246" s="32"/>
      <c r="I246" s="34">
        <f t="shared" si="1"/>
        <v>35</v>
      </c>
      <c r="J246" s="32"/>
      <c r="K246" s="27"/>
      <c r="L246" s="9">
        <f t="shared" si="3"/>
        <v>43539.86612</v>
      </c>
      <c r="M246" s="27"/>
      <c r="N246" s="18"/>
      <c r="O246" s="18"/>
      <c r="P246" s="18"/>
      <c r="Q246" s="18"/>
      <c r="R246" s="18"/>
      <c r="S246" s="18"/>
      <c r="T246" s="18"/>
      <c r="U246" s="18"/>
      <c r="V246" s="18"/>
      <c r="W246" s="25"/>
      <c r="X246" s="25"/>
      <c r="Y246" s="25"/>
      <c r="Z246" s="25"/>
    </row>
    <row r="247">
      <c r="A247" s="20">
        <v>214311.0</v>
      </c>
      <c r="B247" s="19">
        <v>41154.0</v>
      </c>
      <c r="C247" s="20">
        <v>36.0</v>
      </c>
      <c r="D247" s="26">
        <v>246.0</v>
      </c>
      <c r="E247" s="34">
        <f t="shared" ref="E247:E275" si="28">E246</f>
        <v>7143.7</v>
      </c>
      <c r="F247" s="34">
        <f t="shared" si="26"/>
        <v>0.4193548387</v>
      </c>
      <c r="G247" s="35">
        <f t="shared" si="27"/>
        <v>6981.305515</v>
      </c>
      <c r="H247" s="32"/>
      <c r="I247" s="34">
        <f t="shared" si="1"/>
        <v>36</v>
      </c>
      <c r="J247" s="35">
        <f>SUM(G247:G253)</f>
        <v>49131.46816</v>
      </c>
      <c r="K247" s="24">
        <v>49131.46816</v>
      </c>
      <c r="L247" s="9">
        <f t="shared" si="3"/>
        <v>43539.86612</v>
      </c>
      <c r="M247" s="24">
        <v>43539.86612</v>
      </c>
      <c r="N247" s="25">
        <v>13595.91182</v>
      </c>
      <c r="O247" s="25">
        <v>11418.52206</v>
      </c>
      <c r="P247" s="25">
        <v>3068.649718</v>
      </c>
      <c r="Q247" s="25">
        <v>21372.94211</v>
      </c>
      <c r="R247" s="18"/>
      <c r="S247" s="25">
        <v>11398.58038</v>
      </c>
      <c r="T247" s="25">
        <v>10086.11354</v>
      </c>
      <c r="U247" s="25">
        <v>2668.141835</v>
      </c>
      <c r="V247" s="25">
        <v>18881.90062</v>
      </c>
      <c r="W247" s="25">
        <v>2197.331437</v>
      </c>
      <c r="X247" s="25">
        <v>1332.40852</v>
      </c>
      <c r="Y247" s="25">
        <v>400.5078827</v>
      </c>
      <c r="Z247" s="25">
        <v>2491.041488</v>
      </c>
    </row>
    <row r="248">
      <c r="A248" s="28"/>
      <c r="B248" s="19">
        <v>41155.0</v>
      </c>
      <c r="C248" s="20">
        <v>36.0</v>
      </c>
      <c r="D248" s="26">
        <v>247.0</v>
      </c>
      <c r="E248" s="34">
        <f t="shared" si="28"/>
        <v>7143.7</v>
      </c>
      <c r="F248" s="34">
        <f t="shared" si="26"/>
        <v>0.3870967742</v>
      </c>
      <c r="G248" s="35">
        <f t="shared" si="27"/>
        <v>6993.797399</v>
      </c>
      <c r="H248" s="32"/>
      <c r="I248" s="34">
        <f t="shared" si="1"/>
        <v>36</v>
      </c>
      <c r="J248" s="32"/>
      <c r="K248" s="27"/>
      <c r="L248" s="9">
        <f t="shared" si="3"/>
        <v>43539.86612</v>
      </c>
      <c r="M248" s="27"/>
      <c r="N248" s="18"/>
      <c r="O248" s="18"/>
      <c r="P248" s="18"/>
      <c r="Q248" s="18"/>
      <c r="R248" s="18"/>
      <c r="S248" s="18"/>
      <c r="T248" s="18"/>
      <c r="U248" s="18"/>
      <c r="V248" s="18"/>
      <c r="W248" s="25"/>
      <c r="X248" s="25"/>
      <c r="Y248" s="25"/>
      <c r="Z248" s="25"/>
    </row>
    <row r="249">
      <c r="A249" s="28"/>
      <c r="B249" s="19">
        <v>41156.0</v>
      </c>
      <c r="C249" s="20">
        <v>36.0</v>
      </c>
      <c r="D249" s="26">
        <v>248.0</v>
      </c>
      <c r="E249" s="34">
        <f t="shared" si="28"/>
        <v>7143.7</v>
      </c>
      <c r="F249" s="34">
        <f t="shared" si="26"/>
        <v>0.3548387097</v>
      </c>
      <c r="G249" s="35">
        <f t="shared" si="27"/>
        <v>7006.289282</v>
      </c>
      <c r="H249" s="32"/>
      <c r="I249" s="34">
        <f t="shared" si="1"/>
        <v>36</v>
      </c>
      <c r="J249" s="32"/>
      <c r="K249" s="27"/>
      <c r="L249" s="9">
        <f t="shared" si="3"/>
        <v>43539.86612</v>
      </c>
      <c r="M249" s="27"/>
      <c r="N249" s="18"/>
      <c r="O249" s="18"/>
      <c r="P249" s="18"/>
      <c r="Q249" s="18"/>
      <c r="R249" s="18"/>
      <c r="S249" s="18"/>
      <c r="T249" s="18"/>
      <c r="U249" s="18"/>
      <c r="V249" s="18"/>
      <c r="W249" s="25"/>
      <c r="X249" s="25"/>
      <c r="Y249" s="25"/>
      <c r="Z249" s="25"/>
    </row>
    <row r="250">
      <c r="A250" s="28"/>
      <c r="B250" s="19">
        <v>41157.0</v>
      </c>
      <c r="C250" s="20">
        <v>36.0</v>
      </c>
      <c r="D250" s="26">
        <v>249.0</v>
      </c>
      <c r="E250" s="34">
        <f t="shared" si="28"/>
        <v>7143.7</v>
      </c>
      <c r="F250" s="34">
        <f t="shared" si="26"/>
        <v>0.3225806452</v>
      </c>
      <c r="G250" s="35">
        <f t="shared" si="27"/>
        <v>7018.781165</v>
      </c>
      <c r="H250" s="32"/>
      <c r="I250" s="34">
        <f t="shared" si="1"/>
        <v>36</v>
      </c>
      <c r="J250" s="32"/>
      <c r="K250" s="27"/>
      <c r="L250" s="9">
        <f t="shared" si="3"/>
        <v>43539.86612</v>
      </c>
      <c r="M250" s="27"/>
      <c r="N250" s="18"/>
      <c r="O250" s="18"/>
      <c r="P250" s="18"/>
      <c r="Q250" s="18"/>
      <c r="R250" s="18"/>
      <c r="S250" s="18"/>
      <c r="T250" s="18"/>
      <c r="U250" s="18"/>
      <c r="V250" s="18"/>
      <c r="W250" s="25"/>
      <c r="X250" s="25"/>
      <c r="Y250" s="25"/>
      <c r="Z250" s="25"/>
    </row>
    <row r="251">
      <c r="A251" s="28"/>
      <c r="B251" s="19">
        <v>41158.0</v>
      </c>
      <c r="C251" s="20">
        <v>36.0</v>
      </c>
      <c r="D251" s="26">
        <v>250.0</v>
      </c>
      <c r="E251" s="34">
        <f t="shared" si="28"/>
        <v>7143.7</v>
      </c>
      <c r="F251" s="34">
        <f t="shared" si="26"/>
        <v>0.2903225806</v>
      </c>
      <c r="G251" s="35">
        <f t="shared" si="27"/>
        <v>7031.273049</v>
      </c>
      <c r="H251" s="32"/>
      <c r="I251" s="34">
        <f t="shared" si="1"/>
        <v>36</v>
      </c>
      <c r="J251" s="32"/>
      <c r="K251" s="27"/>
      <c r="L251" s="9">
        <f t="shared" si="3"/>
        <v>43539.86612</v>
      </c>
      <c r="M251" s="27"/>
      <c r="N251" s="18"/>
      <c r="O251" s="18"/>
      <c r="P251" s="18"/>
      <c r="Q251" s="18"/>
      <c r="R251" s="18"/>
      <c r="S251" s="18"/>
      <c r="T251" s="18"/>
      <c r="U251" s="18"/>
      <c r="V251" s="18"/>
      <c r="W251" s="25"/>
      <c r="X251" s="25"/>
      <c r="Y251" s="25"/>
      <c r="Z251" s="25"/>
    </row>
    <row r="252">
      <c r="A252" s="28"/>
      <c r="B252" s="19">
        <v>41159.0</v>
      </c>
      <c r="C252" s="20">
        <v>36.0</v>
      </c>
      <c r="D252" s="26">
        <v>251.0</v>
      </c>
      <c r="E252" s="34">
        <f t="shared" si="28"/>
        <v>7143.7</v>
      </c>
      <c r="F252" s="34">
        <f t="shared" si="26"/>
        <v>0.2580645161</v>
      </c>
      <c r="G252" s="35">
        <f t="shared" si="27"/>
        <v>7043.764932</v>
      </c>
      <c r="H252" s="32"/>
      <c r="I252" s="34">
        <f t="shared" si="1"/>
        <v>36</v>
      </c>
      <c r="J252" s="32"/>
      <c r="K252" s="27"/>
      <c r="L252" s="9">
        <f t="shared" si="3"/>
        <v>43539.86612</v>
      </c>
      <c r="M252" s="27"/>
      <c r="N252" s="18"/>
      <c r="O252" s="18"/>
      <c r="P252" s="18"/>
      <c r="Q252" s="18"/>
      <c r="R252" s="18"/>
      <c r="S252" s="18"/>
      <c r="T252" s="18"/>
      <c r="U252" s="18"/>
      <c r="V252" s="18"/>
      <c r="W252" s="25"/>
      <c r="X252" s="25"/>
      <c r="Y252" s="25"/>
      <c r="Z252" s="25"/>
    </row>
    <row r="253">
      <c r="A253" s="28"/>
      <c r="B253" s="19">
        <v>41160.0</v>
      </c>
      <c r="C253" s="20">
        <v>36.0</v>
      </c>
      <c r="D253" s="26">
        <v>252.0</v>
      </c>
      <c r="E253" s="34">
        <f t="shared" si="28"/>
        <v>7143.7</v>
      </c>
      <c r="F253" s="34">
        <f t="shared" si="26"/>
        <v>0.2258064516</v>
      </c>
      <c r="G253" s="35">
        <f t="shared" si="27"/>
        <v>7056.256816</v>
      </c>
      <c r="H253" s="32"/>
      <c r="I253" s="34">
        <f t="shared" si="1"/>
        <v>36</v>
      </c>
      <c r="J253" s="32"/>
      <c r="K253" s="27"/>
      <c r="L253" s="9">
        <f t="shared" si="3"/>
        <v>43539.86612</v>
      </c>
      <c r="M253" s="27"/>
      <c r="N253" s="18"/>
      <c r="O253" s="18"/>
      <c r="P253" s="18"/>
      <c r="Q253" s="18"/>
      <c r="R253" s="18"/>
      <c r="S253" s="18"/>
      <c r="T253" s="18"/>
      <c r="U253" s="18"/>
      <c r="V253" s="18"/>
      <c r="W253" s="25"/>
      <c r="X253" s="25"/>
      <c r="Y253" s="25"/>
      <c r="Z253" s="25"/>
    </row>
    <row r="254">
      <c r="A254" s="28"/>
      <c r="B254" s="19">
        <v>41161.0</v>
      </c>
      <c r="C254" s="20">
        <v>37.0</v>
      </c>
      <c r="D254" s="26">
        <v>253.0</v>
      </c>
      <c r="E254" s="34">
        <f t="shared" si="28"/>
        <v>7143.7</v>
      </c>
      <c r="F254" s="34">
        <f t="shared" si="26"/>
        <v>0.1935483871</v>
      </c>
      <c r="G254" s="35">
        <f t="shared" si="27"/>
        <v>7068.748699</v>
      </c>
      <c r="H254" s="32"/>
      <c r="I254" s="34">
        <f t="shared" si="1"/>
        <v>37</v>
      </c>
      <c r="J254" s="35">
        <f>SUM(G254:G260)</f>
        <v>49743.57045</v>
      </c>
      <c r="K254" s="24">
        <v>49743.57045</v>
      </c>
      <c r="L254" s="9">
        <f t="shared" si="3"/>
        <v>43539.86612</v>
      </c>
      <c r="M254" s="24">
        <v>43539.86612</v>
      </c>
      <c r="N254" s="25">
        <v>12990.03513</v>
      </c>
      <c r="O254" s="25">
        <v>12324.38282</v>
      </c>
      <c r="P254" s="25">
        <v>2968.244241</v>
      </c>
      <c r="Q254" s="25">
        <v>21536.0234</v>
      </c>
      <c r="R254" s="18"/>
      <c r="S254" s="25">
        <v>11605.68387</v>
      </c>
      <c r="T254" s="25">
        <v>10373.38768</v>
      </c>
      <c r="U254" s="25">
        <v>2522.163269</v>
      </c>
      <c r="V254" s="25">
        <v>18768.06452</v>
      </c>
      <c r="W254" s="25">
        <v>1384.351255</v>
      </c>
      <c r="X254" s="25">
        <v>1950.995141</v>
      </c>
      <c r="Y254" s="25">
        <v>446.0809713</v>
      </c>
      <c r="Z254" s="25">
        <v>2767.958875</v>
      </c>
    </row>
    <row r="255">
      <c r="A255" s="28"/>
      <c r="B255" s="19">
        <v>41162.0</v>
      </c>
      <c r="C255" s="20">
        <v>37.0</v>
      </c>
      <c r="D255" s="26">
        <v>254.0</v>
      </c>
      <c r="E255" s="34">
        <f t="shared" si="28"/>
        <v>7143.7</v>
      </c>
      <c r="F255" s="34">
        <f t="shared" si="26"/>
        <v>0.1612903226</v>
      </c>
      <c r="G255" s="35">
        <f t="shared" si="27"/>
        <v>7081.240583</v>
      </c>
      <c r="H255" s="32"/>
      <c r="I255" s="34">
        <f t="shared" si="1"/>
        <v>37</v>
      </c>
      <c r="J255" s="32"/>
      <c r="K255" s="27"/>
      <c r="L255" s="9">
        <f t="shared" si="3"/>
        <v>43539.86612</v>
      </c>
      <c r="M255" s="27"/>
      <c r="N255" s="18"/>
      <c r="O255" s="18"/>
      <c r="P255" s="18"/>
      <c r="Q255" s="18"/>
      <c r="R255" s="18"/>
      <c r="S255" s="18"/>
      <c r="T255" s="18"/>
      <c r="U255" s="18"/>
      <c r="V255" s="18"/>
      <c r="W255" s="25"/>
      <c r="X255" s="25"/>
      <c r="Y255" s="25"/>
      <c r="Z255" s="25"/>
    </row>
    <row r="256">
      <c r="A256" s="28"/>
      <c r="B256" s="19">
        <v>41163.0</v>
      </c>
      <c r="C256" s="20">
        <v>37.0</v>
      </c>
      <c r="D256" s="26">
        <v>255.0</v>
      </c>
      <c r="E256" s="34">
        <f t="shared" si="28"/>
        <v>7143.7</v>
      </c>
      <c r="F256" s="34">
        <f t="shared" si="26"/>
        <v>0.1290322581</v>
      </c>
      <c r="G256" s="35">
        <f t="shared" si="27"/>
        <v>7093.732466</v>
      </c>
      <c r="H256" s="32"/>
      <c r="I256" s="34">
        <f t="shared" si="1"/>
        <v>37</v>
      </c>
      <c r="J256" s="32"/>
      <c r="K256" s="27"/>
      <c r="L256" s="9">
        <f t="shared" si="3"/>
        <v>43539.86612</v>
      </c>
      <c r="M256" s="27"/>
      <c r="N256" s="18"/>
      <c r="O256" s="18"/>
      <c r="P256" s="18"/>
      <c r="Q256" s="18"/>
      <c r="R256" s="18"/>
      <c r="S256" s="18"/>
      <c r="T256" s="18"/>
      <c r="U256" s="18"/>
      <c r="V256" s="18"/>
      <c r="W256" s="25"/>
      <c r="X256" s="25"/>
      <c r="Y256" s="25"/>
      <c r="Z256" s="25"/>
    </row>
    <row r="257">
      <c r="A257" s="28"/>
      <c r="B257" s="19">
        <v>41164.0</v>
      </c>
      <c r="C257" s="20">
        <v>37.0</v>
      </c>
      <c r="D257" s="26">
        <v>256.0</v>
      </c>
      <c r="E257" s="34">
        <f t="shared" si="28"/>
        <v>7143.7</v>
      </c>
      <c r="F257" s="34">
        <f t="shared" si="26"/>
        <v>0.09677419355</v>
      </c>
      <c r="G257" s="35">
        <f t="shared" si="27"/>
        <v>7106.22435</v>
      </c>
      <c r="H257" s="32"/>
      <c r="I257" s="34">
        <f t="shared" si="1"/>
        <v>37</v>
      </c>
      <c r="J257" s="32"/>
      <c r="K257" s="27"/>
      <c r="L257" s="9">
        <f t="shared" si="3"/>
        <v>43539.86612</v>
      </c>
      <c r="M257" s="27"/>
      <c r="N257" s="18"/>
      <c r="O257" s="18"/>
      <c r="P257" s="18"/>
      <c r="Q257" s="18"/>
      <c r="R257" s="18"/>
      <c r="S257" s="18"/>
      <c r="T257" s="18"/>
      <c r="U257" s="18"/>
      <c r="V257" s="18"/>
      <c r="W257" s="25"/>
      <c r="X257" s="25"/>
      <c r="Y257" s="25"/>
      <c r="Z257" s="25"/>
    </row>
    <row r="258">
      <c r="A258" s="28"/>
      <c r="B258" s="19">
        <v>41165.0</v>
      </c>
      <c r="C258" s="20">
        <v>37.0</v>
      </c>
      <c r="D258" s="26">
        <v>257.0</v>
      </c>
      <c r="E258" s="34">
        <f t="shared" si="28"/>
        <v>7143.7</v>
      </c>
      <c r="F258" s="34">
        <f t="shared" si="26"/>
        <v>0.06451612903</v>
      </c>
      <c r="G258" s="35">
        <f t="shared" si="27"/>
        <v>7118.716233</v>
      </c>
      <c r="H258" s="32"/>
      <c r="I258" s="34">
        <f t="shared" si="1"/>
        <v>37</v>
      </c>
      <c r="J258" s="32"/>
      <c r="K258" s="27"/>
      <c r="L258" s="9">
        <f t="shared" si="3"/>
        <v>43539.86612</v>
      </c>
      <c r="M258" s="27"/>
      <c r="N258" s="18"/>
      <c r="O258" s="18"/>
      <c r="P258" s="18"/>
      <c r="Q258" s="18"/>
      <c r="R258" s="18"/>
      <c r="S258" s="18"/>
      <c r="T258" s="18"/>
      <c r="U258" s="18"/>
      <c r="V258" s="18"/>
      <c r="W258" s="25"/>
      <c r="X258" s="25"/>
      <c r="Y258" s="25"/>
      <c r="Z258" s="25"/>
    </row>
    <row r="259">
      <c r="A259" s="28"/>
      <c r="B259" s="19">
        <v>41166.0</v>
      </c>
      <c r="C259" s="20">
        <v>37.0</v>
      </c>
      <c r="D259" s="26">
        <v>258.0</v>
      </c>
      <c r="E259" s="34">
        <f t="shared" si="28"/>
        <v>7143.7</v>
      </c>
      <c r="F259" s="34">
        <f t="shared" si="26"/>
        <v>0.03225806452</v>
      </c>
      <c r="G259" s="35">
        <f t="shared" si="27"/>
        <v>7131.208117</v>
      </c>
      <c r="H259" s="32"/>
      <c r="I259" s="34">
        <f t="shared" si="1"/>
        <v>37</v>
      </c>
      <c r="J259" s="32"/>
      <c r="K259" s="27"/>
      <c r="L259" s="9">
        <f t="shared" si="3"/>
        <v>43539.86612</v>
      </c>
      <c r="M259" s="27"/>
      <c r="N259" s="18"/>
      <c r="O259" s="18"/>
      <c r="P259" s="18"/>
      <c r="Q259" s="18"/>
      <c r="R259" s="18"/>
      <c r="S259" s="18"/>
      <c r="T259" s="18"/>
      <c r="U259" s="18"/>
      <c r="V259" s="18"/>
      <c r="W259" s="25"/>
      <c r="X259" s="25"/>
      <c r="Y259" s="25"/>
      <c r="Z259" s="25"/>
    </row>
    <row r="260">
      <c r="A260" s="13"/>
      <c r="B260" s="19">
        <v>41167.0</v>
      </c>
      <c r="C260" s="20">
        <v>37.0</v>
      </c>
      <c r="D260" s="26">
        <v>259.0</v>
      </c>
      <c r="E260" s="34">
        <f t="shared" si="28"/>
        <v>7143.7</v>
      </c>
      <c r="F260" s="34">
        <v>1.0</v>
      </c>
      <c r="G260" s="35">
        <f>E260</f>
        <v>7143.7</v>
      </c>
      <c r="H260" s="32"/>
      <c r="I260" s="34">
        <f t="shared" si="1"/>
        <v>37</v>
      </c>
      <c r="J260" s="32"/>
      <c r="K260" s="27"/>
      <c r="L260" s="9">
        <f t="shared" si="3"/>
        <v>43539.86612</v>
      </c>
      <c r="M260" s="27"/>
      <c r="N260" s="18"/>
      <c r="O260" s="18"/>
      <c r="P260" s="18"/>
      <c r="Q260" s="18"/>
      <c r="R260" s="18"/>
      <c r="S260" s="18"/>
      <c r="T260" s="18"/>
      <c r="U260" s="18"/>
      <c r="V260" s="18"/>
      <c r="W260" s="25"/>
      <c r="X260" s="25"/>
      <c r="Y260" s="25"/>
      <c r="Z260" s="25"/>
    </row>
    <row r="261">
      <c r="A261" s="13"/>
      <c r="B261" s="19">
        <v>41168.0</v>
      </c>
      <c r="C261" s="20">
        <v>38.0</v>
      </c>
      <c r="D261" s="26">
        <v>260.0</v>
      </c>
      <c r="E261" s="34">
        <f t="shared" si="28"/>
        <v>7143.7</v>
      </c>
      <c r="F261" s="34">
        <f t="shared" ref="F261:F289" si="29">abs((D261-289)/(259-289))</f>
        <v>0.9666666667</v>
      </c>
      <c r="G261" s="35">
        <f t="shared" ref="G261:G289" si="30">E246*F261+(1-F261)*E276</f>
        <v>7130.016452</v>
      </c>
      <c r="H261" s="32"/>
      <c r="I261" s="34">
        <f t="shared" si="1"/>
        <v>38</v>
      </c>
      <c r="J261" s="35">
        <f>SUM(G261:G267)</f>
        <v>49622.76065</v>
      </c>
      <c r="K261" s="24">
        <v>49622.76065</v>
      </c>
      <c r="L261" s="9">
        <f t="shared" si="3"/>
        <v>43539.86612</v>
      </c>
      <c r="M261" s="24">
        <v>43539.86612</v>
      </c>
      <c r="N261" s="25">
        <v>12592.14771</v>
      </c>
      <c r="O261" s="25">
        <v>11546.5152</v>
      </c>
      <c r="P261" s="25">
        <v>3081.341683</v>
      </c>
      <c r="Q261" s="25">
        <v>20617.24325</v>
      </c>
      <c r="R261" s="18"/>
      <c r="S261" s="25">
        <v>11139.46721</v>
      </c>
      <c r="T261" s="25">
        <v>10383.4084</v>
      </c>
      <c r="U261" s="25">
        <v>2619.321344</v>
      </c>
      <c r="V261" s="25">
        <v>19306.462</v>
      </c>
      <c r="W261" s="25">
        <v>1452.680498</v>
      </c>
      <c r="X261" s="25">
        <v>1163.1068</v>
      </c>
      <c r="Y261" s="25">
        <v>462.0203399</v>
      </c>
      <c r="Z261" s="25">
        <v>1310.781252</v>
      </c>
    </row>
    <row r="262">
      <c r="A262" s="28"/>
      <c r="B262" s="19">
        <v>41169.0</v>
      </c>
      <c r="C262" s="20">
        <v>38.0</v>
      </c>
      <c r="D262" s="26">
        <v>261.0</v>
      </c>
      <c r="E262" s="34">
        <f t="shared" si="28"/>
        <v>7143.7</v>
      </c>
      <c r="F262" s="34">
        <f t="shared" si="29"/>
        <v>0.9333333333</v>
      </c>
      <c r="G262" s="35">
        <f t="shared" si="30"/>
        <v>7116.332903</v>
      </c>
      <c r="H262" s="32"/>
      <c r="I262" s="34">
        <f t="shared" si="1"/>
        <v>38</v>
      </c>
      <c r="J262" s="32"/>
      <c r="K262" s="27"/>
      <c r="L262" s="9">
        <f t="shared" si="3"/>
        <v>43539.86612</v>
      </c>
      <c r="M262" s="27"/>
      <c r="N262" s="18"/>
      <c r="O262" s="18"/>
      <c r="P262" s="18"/>
      <c r="Q262" s="18"/>
      <c r="R262" s="18"/>
      <c r="S262" s="18"/>
      <c r="T262" s="18"/>
      <c r="U262" s="18"/>
      <c r="V262" s="18"/>
      <c r="W262" s="25"/>
      <c r="X262" s="25"/>
      <c r="Y262" s="25"/>
      <c r="Z262" s="25"/>
    </row>
    <row r="263">
      <c r="A263" s="28"/>
      <c r="B263" s="19">
        <v>41170.0</v>
      </c>
      <c r="C263" s="20">
        <v>38.0</v>
      </c>
      <c r="D263" s="26">
        <v>262.0</v>
      </c>
      <c r="E263" s="34">
        <f t="shared" si="28"/>
        <v>7143.7</v>
      </c>
      <c r="F263" s="34">
        <f t="shared" si="29"/>
        <v>0.9</v>
      </c>
      <c r="G263" s="35">
        <f t="shared" si="30"/>
        <v>7102.649355</v>
      </c>
      <c r="H263" s="32"/>
      <c r="I263" s="34">
        <f t="shared" si="1"/>
        <v>38</v>
      </c>
      <c r="J263" s="32"/>
      <c r="K263" s="27"/>
      <c r="L263" s="9">
        <f t="shared" si="3"/>
        <v>43539.86612</v>
      </c>
      <c r="M263" s="27"/>
      <c r="N263" s="18"/>
      <c r="O263" s="18"/>
      <c r="P263" s="18"/>
      <c r="Q263" s="18"/>
      <c r="R263" s="18"/>
      <c r="S263" s="18"/>
      <c r="T263" s="18"/>
      <c r="U263" s="18"/>
      <c r="V263" s="18"/>
      <c r="W263" s="25"/>
      <c r="X263" s="25"/>
      <c r="Y263" s="25"/>
      <c r="Z263" s="25"/>
    </row>
    <row r="264">
      <c r="A264" s="28"/>
      <c r="B264" s="19">
        <v>41171.0</v>
      </c>
      <c r="C264" s="20">
        <v>38.0</v>
      </c>
      <c r="D264" s="26">
        <v>263.0</v>
      </c>
      <c r="E264" s="34">
        <f t="shared" si="28"/>
        <v>7143.7</v>
      </c>
      <c r="F264" s="34">
        <f t="shared" si="29"/>
        <v>0.8666666667</v>
      </c>
      <c r="G264" s="35">
        <f t="shared" si="30"/>
        <v>7088.965806</v>
      </c>
      <c r="H264" s="32"/>
      <c r="I264" s="34">
        <f t="shared" si="1"/>
        <v>38</v>
      </c>
      <c r="J264" s="32"/>
      <c r="K264" s="27"/>
      <c r="L264" s="9">
        <f t="shared" si="3"/>
        <v>43539.86612</v>
      </c>
      <c r="M264" s="27"/>
      <c r="N264" s="18"/>
      <c r="O264" s="18"/>
      <c r="P264" s="18"/>
      <c r="Q264" s="18"/>
      <c r="R264" s="18"/>
      <c r="S264" s="18"/>
      <c r="T264" s="18"/>
      <c r="U264" s="18"/>
      <c r="V264" s="18"/>
      <c r="W264" s="25"/>
      <c r="X264" s="25"/>
      <c r="Y264" s="25"/>
      <c r="Z264" s="25"/>
    </row>
    <row r="265">
      <c r="A265" s="28"/>
      <c r="B265" s="19">
        <v>41172.0</v>
      </c>
      <c r="C265" s="20">
        <v>38.0</v>
      </c>
      <c r="D265" s="26">
        <v>264.0</v>
      </c>
      <c r="E265" s="34">
        <f t="shared" si="28"/>
        <v>7143.7</v>
      </c>
      <c r="F265" s="34">
        <f t="shared" si="29"/>
        <v>0.8333333333</v>
      </c>
      <c r="G265" s="35">
        <f t="shared" si="30"/>
        <v>7075.282258</v>
      </c>
      <c r="H265" s="32"/>
      <c r="I265" s="34">
        <f t="shared" si="1"/>
        <v>38</v>
      </c>
      <c r="J265" s="32"/>
      <c r="K265" s="27"/>
      <c r="L265" s="9">
        <f t="shared" si="3"/>
        <v>43539.86612</v>
      </c>
      <c r="M265" s="27"/>
      <c r="N265" s="18"/>
      <c r="O265" s="18"/>
      <c r="P265" s="18"/>
      <c r="Q265" s="18"/>
      <c r="R265" s="18"/>
      <c r="S265" s="18"/>
      <c r="T265" s="18"/>
      <c r="U265" s="18"/>
      <c r="V265" s="18"/>
      <c r="W265" s="25"/>
      <c r="X265" s="25"/>
      <c r="Y265" s="25"/>
      <c r="Z265" s="25"/>
    </row>
    <row r="266">
      <c r="A266" s="28"/>
      <c r="B266" s="19">
        <v>41173.0</v>
      </c>
      <c r="C266" s="20">
        <v>38.0</v>
      </c>
      <c r="D266" s="26">
        <v>265.0</v>
      </c>
      <c r="E266" s="34">
        <f t="shared" si="28"/>
        <v>7143.7</v>
      </c>
      <c r="F266" s="34">
        <f t="shared" si="29"/>
        <v>0.8</v>
      </c>
      <c r="G266" s="35">
        <f t="shared" si="30"/>
        <v>7061.59871</v>
      </c>
      <c r="H266" s="32"/>
      <c r="I266" s="34">
        <f t="shared" si="1"/>
        <v>38</v>
      </c>
      <c r="J266" s="32"/>
      <c r="K266" s="27"/>
      <c r="L266" s="9">
        <f t="shared" si="3"/>
        <v>43539.86612</v>
      </c>
      <c r="M266" s="27"/>
      <c r="N266" s="18"/>
      <c r="O266" s="18"/>
      <c r="P266" s="18"/>
      <c r="Q266" s="18"/>
      <c r="R266" s="18"/>
      <c r="S266" s="18"/>
      <c r="T266" s="18"/>
      <c r="U266" s="18"/>
      <c r="V266" s="18"/>
      <c r="W266" s="25"/>
      <c r="X266" s="25"/>
      <c r="Y266" s="25"/>
      <c r="Z266" s="25"/>
    </row>
    <row r="267">
      <c r="A267" s="28"/>
      <c r="B267" s="19">
        <v>41174.0</v>
      </c>
      <c r="C267" s="20">
        <v>38.0</v>
      </c>
      <c r="D267" s="26">
        <v>266.0</v>
      </c>
      <c r="E267" s="34">
        <f t="shared" si="28"/>
        <v>7143.7</v>
      </c>
      <c r="F267" s="34">
        <f t="shared" si="29"/>
        <v>0.7666666667</v>
      </c>
      <c r="G267" s="35">
        <f t="shared" si="30"/>
        <v>7047.915161</v>
      </c>
      <c r="H267" s="32"/>
      <c r="I267" s="34">
        <f t="shared" si="1"/>
        <v>38</v>
      </c>
      <c r="J267" s="32"/>
      <c r="K267" s="27"/>
      <c r="L267" s="9">
        <f t="shared" si="3"/>
        <v>43539.86612</v>
      </c>
      <c r="M267" s="27"/>
      <c r="N267" s="18"/>
      <c r="O267" s="18"/>
      <c r="P267" s="18"/>
      <c r="Q267" s="18"/>
      <c r="R267" s="18"/>
      <c r="S267" s="18"/>
      <c r="T267" s="18"/>
      <c r="U267" s="18"/>
      <c r="V267" s="18"/>
      <c r="W267" s="25"/>
      <c r="X267" s="25"/>
      <c r="Y267" s="25"/>
      <c r="Z267" s="25"/>
    </row>
    <row r="268">
      <c r="A268" s="28"/>
      <c r="B268" s="19">
        <v>41175.0</v>
      </c>
      <c r="C268" s="20">
        <v>39.0</v>
      </c>
      <c r="D268" s="26">
        <v>267.0</v>
      </c>
      <c r="E268" s="34">
        <f t="shared" si="28"/>
        <v>7143.7</v>
      </c>
      <c r="F268" s="34">
        <f t="shared" si="29"/>
        <v>0.7333333333</v>
      </c>
      <c r="G268" s="35">
        <f t="shared" si="30"/>
        <v>7034.231613</v>
      </c>
      <c r="H268" s="32"/>
      <c r="I268" s="34">
        <f t="shared" si="1"/>
        <v>39</v>
      </c>
      <c r="J268" s="35">
        <f>SUM(G268:G274)</f>
        <v>48952.26677</v>
      </c>
      <c r="K268" s="24">
        <v>48952.26677</v>
      </c>
      <c r="L268" s="9">
        <f t="shared" si="3"/>
        <v>43539.86612</v>
      </c>
      <c r="M268" s="24">
        <v>43539.86612</v>
      </c>
      <c r="N268" s="25">
        <v>13476.29769</v>
      </c>
      <c r="O268" s="25">
        <v>11358.02058</v>
      </c>
      <c r="P268" s="25">
        <v>2873.937274</v>
      </c>
      <c r="Q268" s="25">
        <v>22260.29145</v>
      </c>
      <c r="R268" s="18"/>
      <c r="S268" s="25">
        <v>11412.29708</v>
      </c>
      <c r="T268" s="25">
        <v>9990.375328</v>
      </c>
      <c r="U268" s="25">
        <v>2603.719951</v>
      </c>
      <c r="V268" s="25">
        <v>18736.63118</v>
      </c>
      <c r="W268" s="25">
        <v>2064.000613</v>
      </c>
      <c r="X268" s="25">
        <v>1367.645251</v>
      </c>
      <c r="Y268" s="25">
        <v>270.2173232</v>
      </c>
      <c r="Z268" s="25">
        <v>3523.66027</v>
      </c>
    </row>
    <row r="269">
      <c r="A269" s="28"/>
      <c r="B269" s="19">
        <v>41176.0</v>
      </c>
      <c r="C269" s="20">
        <v>39.0</v>
      </c>
      <c r="D269" s="26">
        <v>268.0</v>
      </c>
      <c r="E269" s="34">
        <f t="shared" si="28"/>
        <v>7143.7</v>
      </c>
      <c r="F269" s="34">
        <f t="shared" si="29"/>
        <v>0.7</v>
      </c>
      <c r="G269" s="35">
        <f t="shared" si="30"/>
        <v>7020.548065</v>
      </c>
      <c r="H269" s="32"/>
      <c r="I269" s="34">
        <f t="shared" si="1"/>
        <v>39</v>
      </c>
      <c r="J269" s="32"/>
      <c r="K269" s="27"/>
      <c r="L269" s="9">
        <f t="shared" si="3"/>
        <v>43539.86612</v>
      </c>
      <c r="M269" s="27"/>
      <c r="N269" s="18"/>
      <c r="O269" s="18"/>
      <c r="P269" s="18"/>
      <c r="Q269" s="18"/>
      <c r="R269" s="18"/>
      <c r="S269" s="18"/>
      <c r="T269" s="18"/>
      <c r="U269" s="18"/>
      <c r="V269" s="18"/>
      <c r="W269" s="25"/>
      <c r="X269" s="25"/>
      <c r="Y269" s="25"/>
      <c r="Z269" s="25"/>
    </row>
    <row r="270">
      <c r="A270" s="28"/>
      <c r="B270" s="19">
        <v>41177.0</v>
      </c>
      <c r="C270" s="20">
        <v>39.0</v>
      </c>
      <c r="D270" s="26">
        <v>269.0</v>
      </c>
      <c r="E270" s="34">
        <f t="shared" si="28"/>
        <v>7143.7</v>
      </c>
      <c r="F270" s="34">
        <f t="shared" si="29"/>
        <v>0.6666666667</v>
      </c>
      <c r="G270" s="35">
        <f t="shared" si="30"/>
        <v>7006.864516</v>
      </c>
      <c r="H270" s="32"/>
      <c r="I270" s="34">
        <f t="shared" si="1"/>
        <v>39</v>
      </c>
      <c r="J270" s="32"/>
      <c r="K270" s="27"/>
      <c r="L270" s="9">
        <f t="shared" si="3"/>
        <v>43539.86612</v>
      </c>
      <c r="M270" s="27"/>
      <c r="N270" s="18"/>
      <c r="O270" s="18"/>
      <c r="P270" s="18"/>
      <c r="Q270" s="18"/>
      <c r="R270" s="18"/>
      <c r="S270" s="18"/>
      <c r="T270" s="18"/>
      <c r="U270" s="18"/>
      <c r="V270" s="18"/>
      <c r="W270" s="25"/>
      <c r="X270" s="25"/>
      <c r="Y270" s="25"/>
      <c r="Z270" s="25"/>
    </row>
    <row r="271">
      <c r="A271" s="28"/>
      <c r="B271" s="19">
        <v>41178.0</v>
      </c>
      <c r="C271" s="20">
        <v>39.0</v>
      </c>
      <c r="D271" s="26">
        <v>270.0</v>
      </c>
      <c r="E271" s="34">
        <f t="shared" si="28"/>
        <v>7143.7</v>
      </c>
      <c r="F271" s="34">
        <f t="shared" si="29"/>
        <v>0.6333333333</v>
      </c>
      <c r="G271" s="35">
        <f t="shared" si="30"/>
        <v>6993.180968</v>
      </c>
      <c r="H271" s="32"/>
      <c r="I271" s="34">
        <f t="shared" si="1"/>
        <v>39</v>
      </c>
      <c r="J271" s="32"/>
      <c r="K271" s="27"/>
      <c r="L271" s="9">
        <f t="shared" si="3"/>
        <v>43539.86612</v>
      </c>
      <c r="M271" s="27"/>
      <c r="N271" s="18"/>
      <c r="O271" s="18"/>
      <c r="P271" s="18"/>
      <c r="Q271" s="18"/>
      <c r="R271" s="18"/>
      <c r="S271" s="18"/>
      <c r="T271" s="18"/>
      <c r="U271" s="18"/>
      <c r="V271" s="18"/>
      <c r="W271" s="25"/>
      <c r="X271" s="25"/>
      <c r="Y271" s="25"/>
      <c r="Z271" s="25"/>
    </row>
    <row r="272">
      <c r="A272" s="28"/>
      <c r="B272" s="19">
        <v>41179.0</v>
      </c>
      <c r="C272" s="20">
        <v>39.0</v>
      </c>
      <c r="D272" s="26">
        <v>271.0</v>
      </c>
      <c r="E272" s="34">
        <f t="shared" si="28"/>
        <v>7143.7</v>
      </c>
      <c r="F272" s="34">
        <f t="shared" si="29"/>
        <v>0.6</v>
      </c>
      <c r="G272" s="35">
        <f t="shared" si="30"/>
        <v>6979.497419</v>
      </c>
      <c r="H272" s="32"/>
      <c r="I272" s="34">
        <f t="shared" si="1"/>
        <v>39</v>
      </c>
      <c r="J272" s="32"/>
      <c r="K272" s="27"/>
      <c r="L272" s="9">
        <f t="shared" si="3"/>
        <v>43539.86612</v>
      </c>
      <c r="M272" s="27"/>
      <c r="N272" s="18"/>
      <c r="O272" s="18"/>
      <c r="P272" s="18"/>
      <c r="Q272" s="18"/>
      <c r="R272" s="18"/>
      <c r="S272" s="18"/>
      <c r="T272" s="18"/>
      <c r="U272" s="18"/>
      <c r="V272" s="18"/>
      <c r="W272" s="25"/>
      <c r="X272" s="25"/>
      <c r="Y272" s="25"/>
      <c r="Z272" s="25"/>
    </row>
    <row r="273">
      <c r="A273" s="28"/>
      <c r="B273" s="19">
        <v>41180.0</v>
      </c>
      <c r="C273" s="20">
        <v>39.0</v>
      </c>
      <c r="D273" s="26">
        <v>272.0</v>
      </c>
      <c r="E273" s="34">
        <f t="shared" si="28"/>
        <v>7143.7</v>
      </c>
      <c r="F273" s="34">
        <f t="shared" si="29"/>
        <v>0.5666666667</v>
      </c>
      <c r="G273" s="35">
        <f t="shared" si="30"/>
        <v>6965.813871</v>
      </c>
      <c r="H273" s="32"/>
      <c r="I273" s="34">
        <f t="shared" si="1"/>
        <v>39</v>
      </c>
      <c r="J273" s="32"/>
      <c r="K273" s="27"/>
      <c r="L273" s="9">
        <f t="shared" si="3"/>
        <v>43539.86612</v>
      </c>
      <c r="M273" s="27"/>
      <c r="N273" s="18"/>
      <c r="O273" s="18"/>
      <c r="P273" s="18"/>
      <c r="Q273" s="18"/>
      <c r="R273" s="18"/>
      <c r="S273" s="18"/>
      <c r="T273" s="18"/>
      <c r="U273" s="18"/>
      <c r="V273" s="18"/>
      <c r="W273" s="25"/>
      <c r="X273" s="25"/>
      <c r="Y273" s="25"/>
      <c r="Z273" s="25"/>
    </row>
    <row r="274">
      <c r="A274" s="28"/>
      <c r="B274" s="19">
        <v>41181.0</v>
      </c>
      <c r="C274" s="20">
        <v>39.0</v>
      </c>
      <c r="D274" s="26">
        <v>273.0</v>
      </c>
      <c r="E274" s="34">
        <f t="shared" si="28"/>
        <v>7143.7</v>
      </c>
      <c r="F274" s="34">
        <f t="shared" si="29"/>
        <v>0.5333333333</v>
      </c>
      <c r="G274" s="35">
        <f t="shared" si="30"/>
        <v>6952.130323</v>
      </c>
      <c r="H274" s="32"/>
      <c r="I274" s="34">
        <f t="shared" si="1"/>
        <v>39</v>
      </c>
      <c r="J274" s="32"/>
      <c r="K274" s="27"/>
      <c r="L274" s="9">
        <f t="shared" si="3"/>
        <v>43539.86612</v>
      </c>
      <c r="M274" s="27"/>
      <c r="N274" s="18"/>
      <c r="O274" s="18"/>
      <c r="P274" s="18"/>
      <c r="Q274" s="18"/>
      <c r="R274" s="18"/>
      <c r="S274" s="18"/>
      <c r="T274" s="18"/>
      <c r="U274" s="18"/>
      <c r="V274" s="18"/>
      <c r="W274" s="25"/>
      <c r="X274" s="25"/>
      <c r="Y274" s="25"/>
      <c r="Z274" s="25"/>
    </row>
    <row r="275">
      <c r="A275" s="28"/>
      <c r="B275" s="19">
        <v>41182.0</v>
      </c>
      <c r="C275" s="20">
        <v>40.0</v>
      </c>
      <c r="D275" s="26">
        <v>274.0</v>
      </c>
      <c r="E275" s="34">
        <f t="shared" si="28"/>
        <v>7143.7</v>
      </c>
      <c r="F275" s="34">
        <f t="shared" si="29"/>
        <v>0.5</v>
      </c>
      <c r="G275" s="35">
        <f t="shared" si="30"/>
        <v>6938.446774</v>
      </c>
      <c r="H275" s="32"/>
      <c r="I275" s="34">
        <f t="shared" si="1"/>
        <v>40</v>
      </c>
      <c r="J275" s="35">
        <f>SUM(G275:G281)</f>
        <v>48281.7729</v>
      </c>
      <c r="K275" s="24">
        <v>48281.7729</v>
      </c>
      <c r="L275" s="9">
        <f t="shared" si="3"/>
        <v>43539.86612</v>
      </c>
      <c r="M275" s="24">
        <v>43539.86612</v>
      </c>
      <c r="N275" s="25">
        <v>12486.23754</v>
      </c>
      <c r="O275" s="25">
        <v>11725.28161</v>
      </c>
      <c r="P275" s="25">
        <v>3023.291907</v>
      </c>
      <c r="Q275" s="25">
        <v>21913.24923</v>
      </c>
      <c r="R275" s="18"/>
      <c r="S275" s="25">
        <v>11162.22461</v>
      </c>
      <c r="T275" s="25">
        <v>10665.0024</v>
      </c>
      <c r="U275" s="25">
        <v>2770.124041</v>
      </c>
      <c r="V275" s="25">
        <v>18924.44095</v>
      </c>
      <c r="W275" s="25">
        <v>1324.01293</v>
      </c>
      <c r="X275" s="25">
        <v>1060.279213</v>
      </c>
      <c r="Y275" s="25">
        <v>253.1678664</v>
      </c>
      <c r="Z275" s="25">
        <v>2988.808278</v>
      </c>
    </row>
    <row r="276">
      <c r="A276" s="13" t="s">
        <v>73</v>
      </c>
      <c r="B276" s="19">
        <v>41183.0</v>
      </c>
      <c r="C276" s="20">
        <v>40.0</v>
      </c>
      <c r="D276" s="26">
        <v>275.0</v>
      </c>
      <c r="E276" s="34">
        <f>A277/31</f>
        <v>6733.193548</v>
      </c>
      <c r="F276" s="34">
        <f t="shared" si="29"/>
        <v>0.4666666667</v>
      </c>
      <c r="G276" s="35">
        <f t="shared" si="30"/>
        <v>6924.763226</v>
      </c>
      <c r="H276" s="32"/>
      <c r="I276" s="34">
        <f t="shared" si="1"/>
        <v>40</v>
      </c>
      <c r="J276" s="32"/>
      <c r="K276" s="27"/>
      <c r="L276" s="9">
        <f t="shared" si="3"/>
        <v>43539.86612</v>
      </c>
      <c r="M276" s="27"/>
      <c r="N276" s="18"/>
      <c r="O276" s="18"/>
      <c r="P276" s="18"/>
      <c r="Q276" s="18"/>
      <c r="R276" s="18"/>
      <c r="S276" s="18"/>
      <c r="T276" s="18"/>
      <c r="U276" s="18"/>
      <c r="V276" s="18"/>
      <c r="W276" s="25"/>
      <c r="X276" s="25"/>
      <c r="Y276" s="25"/>
      <c r="Z276" s="25"/>
    </row>
    <row r="277">
      <c r="A277" s="20">
        <v>208729.0</v>
      </c>
      <c r="B277" s="19">
        <v>41184.0</v>
      </c>
      <c r="C277" s="20">
        <v>40.0</v>
      </c>
      <c r="D277" s="26">
        <v>276.0</v>
      </c>
      <c r="E277" s="34">
        <f t="shared" ref="E277:E306" si="31">E276</f>
        <v>6733.193548</v>
      </c>
      <c r="F277" s="34">
        <f t="shared" si="29"/>
        <v>0.4333333333</v>
      </c>
      <c r="G277" s="35">
        <f t="shared" si="30"/>
        <v>6911.079677</v>
      </c>
      <c r="H277" s="32"/>
      <c r="I277" s="34">
        <f t="shared" si="1"/>
        <v>40</v>
      </c>
      <c r="J277" s="32"/>
      <c r="K277" s="27"/>
      <c r="L277" s="9">
        <f t="shared" si="3"/>
        <v>43539.86612</v>
      </c>
      <c r="M277" s="27"/>
      <c r="N277" s="18"/>
      <c r="O277" s="18"/>
      <c r="P277" s="18"/>
      <c r="Q277" s="18"/>
      <c r="R277" s="18"/>
      <c r="S277" s="18"/>
      <c r="T277" s="18"/>
      <c r="U277" s="18"/>
      <c r="V277" s="18"/>
      <c r="W277" s="25"/>
      <c r="X277" s="25"/>
      <c r="Y277" s="25"/>
      <c r="Z277" s="25"/>
    </row>
    <row r="278">
      <c r="A278" s="28"/>
      <c r="B278" s="19">
        <v>41185.0</v>
      </c>
      <c r="C278" s="20">
        <v>40.0</v>
      </c>
      <c r="D278" s="26">
        <v>277.0</v>
      </c>
      <c r="E278" s="34">
        <f t="shared" si="31"/>
        <v>6733.193548</v>
      </c>
      <c r="F278" s="34">
        <f t="shared" si="29"/>
        <v>0.4</v>
      </c>
      <c r="G278" s="35">
        <f t="shared" si="30"/>
        <v>6897.396129</v>
      </c>
      <c r="H278" s="32"/>
      <c r="I278" s="34">
        <f t="shared" si="1"/>
        <v>40</v>
      </c>
      <c r="J278" s="32"/>
      <c r="K278" s="27"/>
      <c r="L278" s="9">
        <f t="shared" si="3"/>
        <v>43539.86612</v>
      </c>
      <c r="M278" s="27"/>
      <c r="N278" s="18"/>
      <c r="O278" s="18"/>
      <c r="P278" s="18"/>
      <c r="Q278" s="18"/>
      <c r="R278" s="18"/>
      <c r="S278" s="18"/>
      <c r="T278" s="18"/>
      <c r="U278" s="18"/>
      <c r="V278" s="18"/>
      <c r="W278" s="25"/>
      <c r="X278" s="25"/>
      <c r="Y278" s="25"/>
      <c r="Z278" s="25"/>
    </row>
    <row r="279">
      <c r="A279" s="28"/>
      <c r="B279" s="19">
        <v>41186.0</v>
      </c>
      <c r="C279" s="20">
        <v>40.0</v>
      </c>
      <c r="D279" s="26">
        <v>278.0</v>
      </c>
      <c r="E279" s="34">
        <f t="shared" si="31"/>
        <v>6733.193548</v>
      </c>
      <c r="F279" s="34">
        <f t="shared" si="29"/>
        <v>0.3666666667</v>
      </c>
      <c r="G279" s="35">
        <f t="shared" si="30"/>
        <v>6883.712581</v>
      </c>
      <c r="H279" s="32"/>
      <c r="I279" s="34">
        <f t="shared" si="1"/>
        <v>40</v>
      </c>
      <c r="J279" s="32"/>
      <c r="K279" s="27"/>
      <c r="L279" s="9">
        <f t="shared" si="3"/>
        <v>43539.86612</v>
      </c>
      <c r="M279" s="27"/>
      <c r="N279" s="18"/>
      <c r="O279" s="18"/>
      <c r="P279" s="18"/>
      <c r="Q279" s="18"/>
      <c r="R279" s="18"/>
      <c r="S279" s="18"/>
      <c r="T279" s="18"/>
      <c r="U279" s="18"/>
      <c r="V279" s="18"/>
      <c r="W279" s="25"/>
      <c r="X279" s="25"/>
      <c r="Y279" s="25"/>
      <c r="Z279" s="25"/>
    </row>
    <row r="280">
      <c r="A280" s="28"/>
      <c r="B280" s="19">
        <v>41187.0</v>
      </c>
      <c r="C280" s="20">
        <v>40.0</v>
      </c>
      <c r="D280" s="26">
        <v>279.0</v>
      </c>
      <c r="E280" s="34">
        <f t="shared" si="31"/>
        <v>6733.193548</v>
      </c>
      <c r="F280" s="34">
        <f t="shared" si="29"/>
        <v>0.3333333333</v>
      </c>
      <c r="G280" s="35">
        <f t="shared" si="30"/>
        <v>6870.029032</v>
      </c>
      <c r="H280" s="32"/>
      <c r="I280" s="34">
        <f t="shared" si="1"/>
        <v>40</v>
      </c>
      <c r="J280" s="32"/>
      <c r="K280" s="27"/>
      <c r="L280" s="9">
        <f t="shared" si="3"/>
        <v>43539.86612</v>
      </c>
      <c r="M280" s="27"/>
      <c r="N280" s="18"/>
      <c r="O280" s="18"/>
      <c r="P280" s="18"/>
      <c r="Q280" s="18"/>
      <c r="R280" s="18"/>
      <c r="S280" s="18"/>
      <c r="T280" s="18"/>
      <c r="U280" s="18"/>
      <c r="V280" s="18"/>
      <c r="W280" s="25"/>
      <c r="X280" s="25"/>
      <c r="Y280" s="25"/>
      <c r="Z280" s="25"/>
    </row>
    <row r="281">
      <c r="A281" s="28"/>
      <c r="B281" s="19">
        <v>41188.0</v>
      </c>
      <c r="C281" s="20">
        <v>40.0</v>
      </c>
      <c r="D281" s="26">
        <v>280.0</v>
      </c>
      <c r="E281" s="34">
        <f t="shared" si="31"/>
        <v>6733.193548</v>
      </c>
      <c r="F281" s="34">
        <f t="shared" si="29"/>
        <v>0.3</v>
      </c>
      <c r="G281" s="35">
        <f t="shared" si="30"/>
        <v>6856.345484</v>
      </c>
      <c r="H281" s="32"/>
      <c r="I281" s="34">
        <f t="shared" si="1"/>
        <v>40</v>
      </c>
      <c r="J281" s="32"/>
      <c r="K281" s="27"/>
      <c r="L281" s="9">
        <f t="shared" si="3"/>
        <v>43539.86612</v>
      </c>
      <c r="M281" s="27"/>
      <c r="N281" s="18"/>
      <c r="O281" s="18"/>
      <c r="P281" s="18"/>
      <c r="Q281" s="18"/>
      <c r="R281" s="18"/>
      <c r="S281" s="18"/>
      <c r="T281" s="18"/>
      <c r="U281" s="18"/>
      <c r="V281" s="18"/>
      <c r="W281" s="25"/>
      <c r="X281" s="25"/>
      <c r="Y281" s="25"/>
      <c r="Z281" s="25"/>
    </row>
    <row r="282">
      <c r="A282" s="28"/>
      <c r="B282" s="19">
        <v>41189.0</v>
      </c>
      <c r="C282" s="20">
        <v>41.0</v>
      </c>
      <c r="D282" s="26">
        <v>281.0</v>
      </c>
      <c r="E282" s="34">
        <f t="shared" si="31"/>
        <v>6733.193548</v>
      </c>
      <c r="F282" s="34">
        <f t="shared" si="29"/>
        <v>0.2666666667</v>
      </c>
      <c r="G282" s="35">
        <f t="shared" si="30"/>
        <v>6842.661935</v>
      </c>
      <c r="H282" s="32"/>
      <c r="I282" s="34">
        <f t="shared" si="1"/>
        <v>41</v>
      </c>
      <c r="J282" s="35">
        <f>SUM(G282:G288)</f>
        <v>47611.27903</v>
      </c>
      <c r="K282" s="24">
        <v>47611.27903</v>
      </c>
      <c r="L282" s="9">
        <f t="shared" si="3"/>
        <v>43539.86612</v>
      </c>
      <c r="M282" s="24">
        <v>43539.86612</v>
      </c>
      <c r="N282" s="25">
        <v>12876.97919</v>
      </c>
      <c r="O282" s="25">
        <v>10846.85957</v>
      </c>
      <c r="P282" s="25">
        <v>2953.955977</v>
      </c>
      <c r="Q282" s="25">
        <v>21632.50795</v>
      </c>
      <c r="R282" s="18"/>
      <c r="S282" s="25">
        <v>11490.86877</v>
      </c>
      <c r="T282" s="25">
        <v>10346.64407</v>
      </c>
      <c r="U282" s="25">
        <v>2692.886169</v>
      </c>
      <c r="V282" s="25">
        <v>19820.02891</v>
      </c>
      <c r="W282" s="25">
        <v>1386.110415</v>
      </c>
      <c r="X282" s="25">
        <v>500.2155029</v>
      </c>
      <c r="Y282" s="25">
        <v>261.0698082</v>
      </c>
      <c r="Z282" s="25">
        <v>1812.479046</v>
      </c>
    </row>
    <row r="283">
      <c r="A283" s="28"/>
      <c r="B283" s="19">
        <v>41190.0</v>
      </c>
      <c r="C283" s="20">
        <v>41.0</v>
      </c>
      <c r="D283" s="26">
        <v>282.0</v>
      </c>
      <c r="E283" s="34">
        <f t="shared" si="31"/>
        <v>6733.193548</v>
      </c>
      <c r="F283" s="34">
        <f t="shared" si="29"/>
        <v>0.2333333333</v>
      </c>
      <c r="G283" s="35">
        <f t="shared" si="30"/>
        <v>6828.978387</v>
      </c>
      <c r="H283" s="32"/>
      <c r="I283" s="34">
        <f t="shared" si="1"/>
        <v>41</v>
      </c>
      <c r="J283" s="32"/>
      <c r="K283" s="27"/>
      <c r="L283" s="9">
        <f t="shared" si="3"/>
        <v>43539.86612</v>
      </c>
      <c r="M283" s="27"/>
      <c r="N283" s="18"/>
      <c r="O283" s="18"/>
      <c r="P283" s="18"/>
      <c r="Q283" s="18"/>
      <c r="R283" s="18"/>
      <c r="S283" s="18"/>
      <c r="T283" s="18"/>
      <c r="U283" s="18"/>
      <c r="V283" s="18"/>
      <c r="W283" s="25"/>
      <c r="X283" s="25"/>
      <c r="Y283" s="25"/>
      <c r="Z283" s="25"/>
    </row>
    <row r="284">
      <c r="A284" s="28"/>
      <c r="B284" s="19">
        <v>41191.0</v>
      </c>
      <c r="C284" s="20">
        <v>41.0</v>
      </c>
      <c r="D284" s="26">
        <v>283.0</v>
      </c>
      <c r="E284" s="34">
        <f t="shared" si="31"/>
        <v>6733.193548</v>
      </c>
      <c r="F284" s="34">
        <f t="shared" si="29"/>
        <v>0.2</v>
      </c>
      <c r="G284" s="35">
        <f t="shared" si="30"/>
        <v>6815.294839</v>
      </c>
      <c r="H284" s="32"/>
      <c r="I284" s="34">
        <f t="shared" si="1"/>
        <v>41</v>
      </c>
      <c r="J284" s="32"/>
      <c r="K284" s="27"/>
      <c r="L284" s="9">
        <f t="shared" si="3"/>
        <v>43539.86612</v>
      </c>
      <c r="M284" s="27"/>
      <c r="N284" s="18"/>
      <c r="O284" s="18"/>
      <c r="P284" s="18"/>
      <c r="Q284" s="18"/>
      <c r="R284" s="18"/>
      <c r="S284" s="18"/>
      <c r="T284" s="18"/>
      <c r="U284" s="18"/>
      <c r="V284" s="18"/>
      <c r="W284" s="25"/>
      <c r="X284" s="25"/>
      <c r="Y284" s="25"/>
      <c r="Z284" s="25"/>
    </row>
    <row r="285">
      <c r="A285" s="28"/>
      <c r="B285" s="19">
        <v>41192.0</v>
      </c>
      <c r="C285" s="20">
        <v>41.0</v>
      </c>
      <c r="D285" s="26">
        <v>284.0</v>
      </c>
      <c r="E285" s="34">
        <f t="shared" si="31"/>
        <v>6733.193548</v>
      </c>
      <c r="F285" s="34">
        <f t="shared" si="29"/>
        <v>0.1666666667</v>
      </c>
      <c r="G285" s="35">
        <f t="shared" si="30"/>
        <v>6801.61129</v>
      </c>
      <c r="H285" s="32"/>
      <c r="I285" s="34">
        <f t="shared" si="1"/>
        <v>41</v>
      </c>
      <c r="J285" s="32"/>
      <c r="K285" s="27"/>
      <c r="L285" s="9">
        <f t="shared" si="3"/>
        <v>43539.86612</v>
      </c>
      <c r="M285" s="27"/>
      <c r="N285" s="18"/>
      <c r="O285" s="18"/>
      <c r="P285" s="18"/>
      <c r="Q285" s="18"/>
      <c r="R285" s="18"/>
      <c r="S285" s="18"/>
      <c r="T285" s="18"/>
      <c r="U285" s="18"/>
      <c r="V285" s="18"/>
      <c r="W285" s="25"/>
      <c r="X285" s="25"/>
      <c r="Y285" s="25"/>
      <c r="Z285" s="25"/>
    </row>
    <row r="286">
      <c r="A286" s="28"/>
      <c r="B286" s="19">
        <v>41193.0</v>
      </c>
      <c r="C286" s="20">
        <v>41.0</v>
      </c>
      <c r="D286" s="26">
        <v>285.0</v>
      </c>
      <c r="E286" s="34">
        <f t="shared" si="31"/>
        <v>6733.193548</v>
      </c>
      <c r="F286" s="34">
        <f t="shared" si="29"/>
        <v>0.1333333333</v>
      </c>
      <c r="G286" s="35">
        <f t="shared" si="30"/>
        <v>6787.927742</v>
      </c>
      <c r="H286" s="32"/>
      <c r="I286" s="34">
        <f t="shared" si="1"/>
        <v>41</v>
      </c>
      <c r="J286" s="32"/>
      <c r="K286" s="27"/>
      <c r="L286" s="9">
        <f t="shared" si="3"/>
        <v>43539.86612</v>
      </c>
      <c r="M286" s="27"/>
      <c r="N286" s="18"/>
      <c r="O286" s="18"/>
      <c r="P286" s="18"/>
      <c r="Q286" s="18"/>
      <c r="R286" s="18"/>
      <c r="S286" s="18"/>
      <c r="T286" s="18"/>
      <c r="U286" s="18"/>
      <c r="V286" s="18"/>
      <c r="W286" s="25"/>
      <c r="X286" s="25"/>
      <c r="Y286" s="25"/>
      <c r="Z286" s="25"/>
    </row>
    <row r="287">
      <c r="A287" s="28"/>
      <c r="B287" s="19">
        <v>41194.0</v>
      </c>
      <c r="C287" s="20">
        <v>41.0</v>
      </c>
      <c r="D287" s="26">
        <v>286.0</v>
      </c>
      <c r="E287" s="34">
        <f t="shared" si="31"/>
        <v>6733.193548</v>
      </c>
      <c r="F287" s="34">
        <f t="shared" si="29"/>
        <v>0.1</v>
      </c>
      <c r="G287" s="35">
        <f t="shared" si="30"/>
        <v>6774.244194</v>
      </c>
      <c r="H287" s="32"/>
      <c r="I287" s="34">
        <f t="shared" si="1"/>
        <v>41</v>
      </c>
      <c r="J287" s="32"/>
      <c r="K287" s="27"/>
      <c r="L287" s="9">
        <f t="shared" si="3"/>
        <v>43539.86612</v>
      </c>
      <c r="M287" s="27"/>
      <c r="N287" s="18"/>
      <c r="O287" s="18"/>
      <c r="P287" s="18"/>
      <c r="Q287" s="18"/>
      <c r="R287" s="18"/>
      <c r="S287" s="18"/>
      <c r="T287" s="18"/>
      <c r="U287" s="18"/>
      <c r="V287" s="18"/>
      <c r="W287" s="25"/>
      <c r="X287" s="25"/>
      <c r="Y287" s="25"/>
      <c r="Z287" s="25"/>
    </row>
    <row r="288">
      <c r="A288" s="28"/>
      <c r="B288" s="19">
        <v>41195.0</v>
      </c>
      <c r="C288" s="20">
        <v>41.0</v>
      </c>
      <c r="D288" s="26">
        <v>287.0</v>
      </c>
      <c r="E288" s="34">
        <f t="shared" si="31"/>
        <v>6733.193548</v>
      </c>
      <c r="F288" s="34">
        <f t="shared" si="29"/>
        <v>0.06666666667</v>
      </c>
      <c r="G288" s="35">
        <f t="shared" si="30"/>
        <v>6760.560645</v>
      </c>
      <c r="H288" s="32"/>
      <c r="I288" s="34">
        <f t="shared" si="1"/>
        <v>41</v>
      </c>
      <c r="J288" s="32"/>
      <c r="K288" s="27"/>
      <c r="L288" s="9">
        <f t="shared" si="3"/>
        <v>43539.86612</v>
      </c>
      <c r="M288" s="27"/>
      <c r="N288" s="18"/>
      <c r="O288" s="18"/>
      <c r="P288" s="18"/>
      <c r="Q288" s="18"/>
      <c r="R288" s="18"/>
      <c r="S288" s="18"/>
      <c r="T288" s="18"/>
      <c r="U288" s="18"/>
      <c r="V288" s="18"/>
      <c r="W288" s="25"/>
      <c r="X288" s="25"/>
      <c r="Y288" s="25"/>
      <c r="Z288" s="25"/>
    </row>
    <row r="289">
      <c r="A289" s="28"/>
      <c r="B289" s="19">
        <v>41196.0</v>
      </c>
      <c r="C289" s="20">
        <v>42.0</v>
      </c>
      <c r="D289" s="26">
        <v>288.0</v>
      </c>
      <c r="E289" s="34">
        <f t="shared" si="31"/>
        <v>6733.193548</v>
      </c>
      <c r="F289" s="34">
        <f t="shared" si="29"/>
        <v>0.03333333333</v>
      </c>
      <c r="G289" s="35">
        <f t="shared" si="30"/>
        <v>6746.877097</v>
      </c>
      <c r="H289" s="32"/>
      <c r="I289" s="34">
        <f t="shared" si="1"/>
        <v>42</v>
      </c>
      <c r="J289" s="35">
        <f>SUM(G289:G295)</f>
        <v>47142.25119</v>
      </c>
      <c r="K289" s="24">
        <v>47142.25119</v>
      </c>
      <c r="L289" s="9">
        <f t="shared" si="3"/>
        <v>43539.86612</v>
      </c>
      <c r="M289" s="24">
        <v>43539.86612</v>
      </c>
      <c r="N289" s="25">
        <v>12581.76965</v>
      </c>
      <c r="O289" s="25">
        <v>11158.53597</v>
      </c>
      <c r="P289" s="25">
        <v>2988.228277</v>
      </c>
      <c r="Q289" s="25">
        <v>20476.66948</v>
      </c>
      <c r="R289" s="18"/>
      <c r="S289" s="25">
        <v>11606.91469</v>
      </c>
      <c r="T289" s="25">
        <v>10306.2457</v>
      </c>
      <c r="U289" s="25">
        <v>2645.188809</v>
      </c>
      <c r="V289" s="25">
        <v>19413.33712</v>
      </c>
      <c r="W289" s="25">
        <v>974.8549599</v>
      </c>
      <c r="X289" s="25">
        <v>852.2902617</v>
      </c>
      <c r="Y289" s="25">
        <v>343.0394674</v>
      </c>
      <c r="Z289" s="25">
        <v>1063.332356</v>
      </c>
    </row>
    <row r="290">
      <c r="A290" s="13"/>
      <c r="B290" s="19">
        <v>41197.0</v>
      </c>
      <c r="C290" s="20">
        <v>42.0</v>
      </c>
      <c r="D290" s="26">
        <v>289.0</v>
      </c>
      <c r="E290" s="34">
        <f t="shared" si="31"/>
        <v>6733.193548</v>
      </c>
      <c r="F290" s="34">
        <v>1.0</v>
      </c>
      <c r="G290" s="35">
        <f>E290</f>
        <v>6733.193548</v>
      </c>
      <c r="H290" s="32"/>
      <c r="I290" s="34">
        <f t="shared" si="1"/>
        <v>42</v>
      </c>
      <c r="J290" s="32"/>
      <c r="K290" s="27"/>
      <c r="L290" s="9">
        <f t="shared" si="3"/>
        <v>43539.86612</v>
      </c>
      <c r="M290" s="27"/>
      <c r="N290" s="18"/>
      <c r="O290" s="18"/>
      <c r="P290" s="18"/>
      <c r="Q290" s="18"/>
      <c r="R290" s="18"/>
      <c r="S290" s="18"/>
      <c r="T290" s="18"/>
      <c r="U290" s="18"/>
      <c r="V290" s="18"/>
      <c r="W290" s="25"/>
      <c r="X290" s="25"/>
      <c r="Y290" s="25"/>
      <c r="Z290" s="25"/>
    </row>
    <row r="291">
      <c r="A291" s="13"/>
      <c r="B291" s="19">
        <v>41198.0</v>
      </c>
      <c r="C291" s="20">
        <v>42.0</v>
      </c>
      <c r="D291" s="26">
        <v>290.0</v>
      </c>
      <c r="E291" s="34">
        <f t="shared" si="31"/>
        <v>6733.193548</v>
      </c>
      <c r="F291" s="34">
        <f t="shared" ref="F291:F321" si="32">abs((D291-320)/(320-289))</f>
        <v>0.9677419355</v>
      </c>
      <c r="G291" s="35">
        <f t="shared" ref="G291:G320" si="33">E276*F291+(1-F291)*E307</f>
        <v>6732.941068</v>
      </c>
      <c r="H291" s="32"/>
      <c r="I291" s="34">
        <f t="shared" si="1"/>
        <v>42</v>
      </c>
      <c r="J291" s="32"/>
      <c r="K291" s="27"/>
      <c r="L291" s="9">
        <f t="shared" si="3"/>
        <v>43539.86612</v>
      </c>
      <c r="M291" s="27"/>
      <c r="N291" s="18"/>
      <c r="O291" s="18"/>
      <c r="P291" s="18"/>
      <c r="Q291" s="18"/>
      <c r="R291" s="18"/>
      <c r="S291" s="18"/>
      <c r="T291" s="18"/>
      <c r="U291" s="18"/>
      <c r="V291" s="18"/>
      <c r="W291" s="25"/>
      <c r="X291" s="25"/>
      <c r="Y291" s="25"/>
      <c r="Z291" s="25"/>
    </row>
    <row r="292">
      <c r="A292" s="28"/>
      <c r="B292" s="19">
        <v>41199.0</v>
      </c>
      <c r="C292" s="20">
        <v>42.0</v>
      </c>
      <c r="D292" s="26">
        <v>291.0</v>
      </c>
      <c r="E292" s="34">
        <f t="shared" si="31"/>
        <v>6733.193548</v>
      </c>
      <c r="F292" s="34">
        <f t="shared" si="32"/>
        <v>0.935483871</v>
      </c>
      <c r="G292" s="35">
        <f t="shared" si="33"/>
        <v>6732.688588</v>
      </c>
      <c r="H292" s="32"/>
      <c r="I292" s="34">
        <f t="shared" si="1"/>
        <v>42</v>
      </c>
      <c r="J292" s="32"/>
      <c r="K292" s="27"/>
      <c r="L292" s="9">
        <f t="shared" si="3"/>
        <v>43539.86612</v>
      </c>
      <c r="M292" s="27"/>
      <c r="N292" s="18"/>
      <c r="O292" s="18"/>
      <c r="P292" s="18"/>
      <c r="Q292" s="18"/>
      <c r="R292" s="18"/>
      <c r="S292" s="18"/>
      <c r="T292" s="18"/>
      <c r="U292" s="18"/>
      <c r="V292" s="18"/>
      <c r="W292" s="25"/>
      <c r="X292" s="25"/>
      <c r="Y292" s="25"/>
      <c r="Z292" s="25"/>
    </row>
    <row r="293">
      <c r="A293" s="28"/>
      <c r="B293" s="19">
        <v>41200.0</v>
      </c>
      <c r="C293" s="20">
        <v>42.0</v>
      </c>
      <c r="D293" s="26">
        <v>292.0</v>
      </c>
      <c r="E293" s="34">
        <f t="shared" si="31"/>
        <v>6733.193548</v>
      </c>
      <c r="F293" s="34">
        <f t="shared" si="32"/>
        <v>0.9032258065</v>
      </c>
      <c r="G293" s="35">
        <f t="shared" si="33"/>
        <v>6732.436108</v>
      </c>
      <c r="H293" s="32"/>
      <c r="I293" s="34">
        <f t="shared" si="1"/>
        <v>42</v>
      </c>
      <c r="J293" s="32"/>
      <c r="K293" s="27"/>
      <c r="L293" s="9">
        <f t="shared" si="3"/>
        <v>43539.86612</v>
      </c>
      <c r="M293" s="27"/>
      <c r="N293" s="18"/>
      <c r="O293" s="18"/>
      <c r="P293" s="18"/>
      <c r="Q293" s="18"/>
      <c r="R293" s="18"/>
      <c r="S293" s="18"/>
      <c r="T293" s="18"/>
      <c r="U293" s="18"/>
      <c r="V293" s="18"/>
      <c r="W293" s="25"/>
      <c r="X293" s="25"/>
      <c r="Y293" s="25"/>
      <c r="Z293" s="25"/>
    </row>
    <row r="294">
      <c r="A294" s="28"/>
      <c r="B294" s="19">
        <v>41201.0</v>
      </c>
      <c r="C294" s="20">
        <v>42.0</v>
      </c>
      <c r="D294" s="26">
        <v>293.0</v>
      </c>
      <c r="E294" s="34">
        <f t="shared" si="31"/>
        <v>6733.193548</v>
      </c>
      <c r="F294" s="34">
        <f t="shared" si="32"/>
        <v>0.8709677419</v>
      </c>
      <c r="G294" s="35">
        <f t="shared" si="33"/>
        <v>6732.183628</v>
      </c>
      <c r="H294" s="32"/>
      <c r="I294" s="34">
        <f t="shared" si="1"/>
        <v>42</v>
      </c>
      <c r="J294" s="32"/>
      <c r="K294" s="27"/>
      <c r="L294" s="9">
        <f t="shared" si="3"/>
        <v>43539.86612</v>
      </c>
      <c r="M294" s="27"/>
      <c r="N294" s="18"/>
      <c r="O294" s="18"/>
      <c r="P294" s="18"/>
      <c r="Q294" s="18"/>
      <c r="R294" s="18"/>
      <c r="S294" s="18"/>
      <c r="T294" s="18"/>
      <c r="U294" s="18"/>
      <c r="V294" s="18"/>
      <c r="W294" s="25"/>
      <c r="X294" s="25"/>
      <c r="Y294" s="25"/>
      <c r="Z294" s="25"/>
    </row>
    <row r="295">
      <c r="A295" s="28"/>
      <c r="B295" s="19">
        <v>41202.0</v>
      </c>
      <c r="C295" s="20">
        <v>42.0</v>
      </c>
      <c r="D295" s="26">
        <v>294.0</v>
      </c>
      <c r="E295" s="34">
        <f t="shared" si="31"/>
        <v>6733.193548</v>
      </c>
      <c r="F295" s="34">
        <f t="shared" si="32"/>
        <v>0.8387096774</v>
      </c>
      <c r="G295" s="35">
        <f t="shared" si="33"/>
        <v>6731.931148</v>
      </c>
      <c r="H295" s="32"/>
      <c r="I295" s="34">
        <f t="shared" si="1"/>
        <v>42</v>
      </c>
      <c r="J295" s="32"/>
      <c r="K295" s="27"/>
      <c r="L295" s="9">
        <f t="shared" si="3"/>
        <v>43539.86612</v>
      </c>
      <c r="M295" s="27"/>
      <c r="N295" s="18"/>
      <c r="O295" s="18"/>
      <c r="P295" s="18"/>
      <c r="Q295" s="18"/>
      <c r="R295" s="18"/>
      <c r="S295" s="18"/>
      <c r="T295" s="18"/>
      <c r="U295" s="18"/>
      <c r="V295" s="18"/>
      <c r="W295" s="25"/>
      <c r="X295" s="25"/>
      <c r="Y295" s="25"/>
      <c r="Z295" s="25"/>
    </row>
    <row r="296">
      <c r="A296" s="28"/>
      <c r="B296" s="19">
        <v>41203.0</v>
      </c>
      <c r="C296" s="20">
        <v>43.0</v>
      </c>
      <c r="D296" s="26">
        <v>295.0</v>
      </c>
      <c r="E296" s="34">
        <f t="shared" si="31"/>
        <v>6733.193548</v>
      </c>
      <c r="F296" s="34">
        <f t="shared" si="32"/>
        <v>0.8064516129</v>
      </c>
      <c r="G296" s="35">
        <f t="shared" si="33"/>
        <v>6731.678668</v>
      </c>
      <c r="H296" s="32"/>
      <c r="I296" s="34">
        <f t="shared" si="1"/>
        <v>43</v>
      </c>
      <c r="J296" s="35">
        <f>SUM(G296:G302)</f>
        <v>47116.4486</v>
      </c>
      <c r="K296" s="24">
        <v>47116.4486</v>
      </c>
      <c r="L296" s="9">
        <f t="shared" si="3"/>
        <v>43539.86612</v>
      </c>
      <c r="M296" s="24">
        <v>43539.86612</v>
      </c>
      <c r="N296" s="25">
        <v>12728.44311</v>
      </c>
      <c r="O296" s="25">
        <v>10848.91706</v>
      </c>
      <c r="P296" s="25">
        <v>2796.861689</v>
      </c>
      <c r="Q296" s="25">
        <v>20261.108</v>
      </c>
      <c r="R296" s="18"/>
      <c r="S296" s="25">
        <v>12145.65715</v>
      </c>
      <c r="T296" s="25">
        <v>10011.09643</v>
      </c>
      <c r="U296" s="25">
        <v>2649.178566</v>
      </c>
      <c r="V296" s="25">
        <v>19348.84663</v>
      </c>
      <c r="W296" s="25">
        <v>582.7859604</v>
      </c>
      <c r="X296" s="25">
        <v>837.8206313</v>
      </c>
      <c r="Y296" s="25">
        <v>147.6831237</v>
      </c>
      <c r="Z296" s="25">
        <v>912.2613637</v>
      </c>
    </row>
    <row r="297">
      <c r="A297" s="28"/>
      <c r="B297" s="19">
        <v>41204.0</v>
      </c>
      <c r="C297" s="20">
        <v>43.0</v>
      </c>
      <c r="D297" s="26">
        <v>296.0</v>
      </c>
      <c r="E297" s="34">
        <f t="shared" si="31"/>
        <v>6733.193548</v>
      </c>
      <c r="F297" s="34">
        <f t="shared" si="32"/>
        <v>0.7741935484</v>
      </c>
      <c r="G297" s="35">
        <f t="shared" si="33"/>
        <v>6731.426188</v>
      </c>
      <c r="H297" s="32"/>
      <c r="I297" s="34">
        <f t="shared" si="1"/>
        <v>43</v>
      </c>
      <c r="J297" s="32"/>
      <c r="K297" s="27"/>
      <c r="L297" s="9">
        <f t="shared" si="3"/>
        <v>43539.86612</v>
      </c>
      <c r="M297" s="27"/>
      <c r="N297" s="18"/>
      <c r="O297" s="18"/>
      <c r="P297" s="18"/>
      <c r="Q297" s="18"/>
      <c r="R297" s="18"/>
      <c r="S297" s="18"/>
      <c r="T297" s="18"/>
      <c r="U297" s="18"/>
      <c r="V297" s="18"/>
      <c r="W297" s="25"/>
      <c r="X297" s="25"/>
      <c r="Y297" s="25"/>
      <c r="Z297" s="25"/>
    </row>
    <row r="298">
      <c r="A298" s="28"/>
      <c r="B298" s="19">
        <v>41205.0</v>
      </c>
      <c r="C298" s="20">
        <v>43.0</v>
      </c>
      <c r="D298" s="26">
        <v>297.0</v>
      </c>
      <c r="E298" s="34">
        <f t="shared" si="31"/>
        <v>6733.193548</v>
      </c>
      <c r="F298" s="34">
        <f t="shared" si="32"/>
        <v>0.7419354839</v>
      </c>
      <c r="G298" s="35">
        <f t="shared" si="33"/>
        <v>6731.173708</v>
      </c>
      <c r="H298" s="32"/>
      <c r="I298" s="34">
        <f t="shared" si="1"/>
        <v>43</v>
      </c>
      <c r="J298" s="32"/>
      <c r="K298" s="27"/>
      <c r="L298" s="9">
        <f t="shared" si="3"/>
        <v>43539.86612</v>
      </c>
      <c r="M298" s="27"/>
      <c r="N298" s="18"/>
      <c r="O298" s="18"/>
      <c r="P298" s="18"/>
      <c r="Q298" s="18"/>
      <c r="R298" s="18"/>
      <c r="S298" s="18"/>
      <c r="T298" s="18"/>
      <c r="U298" s="18"/>
      <c r="V298" s="18"/>
      <c r="W298" s="25"/>
      <c r="X298" s="25"/>
      <c r="Y298" s="25"/>
      <c r="Z298" s="25"/>
    </row>
    <row r="299">
      <c r="A299" s="28"/>
      <c r="B299" s="19">
        <v>41206.0</v>
      </c>
      <c r="C299" s="20">
        <v>43.0</v>
      </c>
      <c r="D299" s="26">
        <v>298.0</v>
      </c>
      <c r="E299" s="34">
        <f t="shared" si="31"/>
        <v>6733.193548</v>
      </c>
      <c r="F299" s="34">
        <f t="shared" si="32"/>
        <v>0.7096774194</v>
      </c>
      <c r="G299" s="35">
        <f t="shared" si="33"/>
        <v>6730.921228</v>
      </c>
      <c r="H299" s="32"/>
      <c r="I299" s="34">
        <f t="shared" si="1"/>
        <v>43</v>
      </c>
      <c r="J299" s="32"/>
      <c r="K299" s="27"/>
      <c r="L299" s="9">
        <f t="shared" si="3"/>
        <v>43539.86612</v>
      </c>
      <c r="M299" s="27"/>
      <c r="N299" s="18"/>
      <c r="O299" s="18"/>
      <c r="P299" s="18"/>
      <c r="Q299" s="18"/>
      <c r="R299" s="18"/>
      <c r="S299" s="18"/>
      <c r="T299" s="18"/>
      <c r="U299" s="18"/>
      <c r="V299" s="18"/>
      <c r="W299" s="25"/>
      <c r="X299" s="25"/>
      <c r="Y299" s="25"/>
      <c r="Z299" s="25"/>
    </row>
    <row r="300">
      <c r="A300" s="28"/>
      <c r="B300" s="19">
        <v>41207.0</v>
      </c>
      <c r="C300" s="20">
        <v>43.0</v>
      </c>
      <c r="D300" s="26">
        <v>299.0</v>
      </c>
      <c r="E300" s="34">
        <f t="shared" si="31"/>
        <v>6733.193548</v>
      </c>
      <c r="F300" s="34">
        <f t="shared" si="32"/>
        <v>0.6774193548</v>
      </c>
      <c r="G300" s="35">
        <f t="shared" si="33"/>
        <v>6730.668748</v>
      </c>
      <c r="H300" s="32"/>
      <c r="I300" s="34">
        <f t="shared" si="1"/>
        <v>43</v>
      </c>
      <c r="J300" s="32"/>
      <c r="K300" s="27"/>
      <c r="L300" s="9">
        <f t="shared" si="3"/>
        <v>43539.86612</v>
      </c>
      <c r="M300" s="27"/>
      <c r="N300" s="18"/>
      <c r="O300" s="18"/>
      <c r="P300" s="18"/>
      <c r="Q300" s="18"/>
      <c r="R300" s="18"/>
      <c r="S300" s="18"/>
      <c r="T300" s="18"/>
      <c r="U300" s="18"/>
      <c r="V300" s="18"/>
      <c r="W300" s="25"/>
      <c r="X300" s="25"/>
      <c r="Y300" s="25"/>
      <c r="Z300" s="25"/>
    </row>
    <row r="301">
      <c r="A301" s="28"/>
      <c r="B301" s="19">
        <v>41208.0</v>
      </c>
      <c r="C301" s="20">
        <v>43.0</v>
      </c>
      <c r="D301" s="26">
        <v>300.0</v>
      </c>
      <c r="E301" s="34">
        <f t="shared" si="31"/>
        <v>6733.193548</v>
      </c>
      <c r="F301" s="34">
        <f t="shared" si="32"/>
        <v>0.6451612903</v>
      </c>
      <c r="G301" s="35">
        <f t="shared" si="33"/>
        <v>6730.416268</v>
      </c>
      <c r="H301" s="32"/>
      <c r="I301" s="34">
        <f t="shared" si="1"/>
        <v>43</v>
      </c>
      <c r="J301" s="32"/>
      <c r="K301" s="27"/>
      <c r="L301" s="9">
        <f t="shared" si="3"/>
        <v>43539.86612</v>
      </c>
      <c r="M301" s="27"/>
      <c r="N301" s="18"/>
      <c r="O301" s="18"/>
      <c r="P301" s="18"/>
      <c r="Q301" s="18"/>
      <c r="R301" s="18"/>
      <c r="S301" s="18"/>
      <c r="T301" s="18"/>
      <c r="U301" s="18"/>
      <c r="V301" s="18"/>
      <c r="W301" s="25"/>
      <c r="X301" s="25"/>
      <c r="Y301" s="25"/>
      <c r="Z301" s="25"/>
    </row>
    <row r="302">
      <c r="A302" s="28"/>
      <c r="B302" s="19">
        <v>41209.0</v>
      </c>
      <c r="C302" s="20">
        <v>43.0</v>
      </c>
      <c r="D302" s="26">
        <v>301.0</v>
      </c>
      <c r="E302" s="34">
        <f t="shared" si="31"/>
        <v>6733.193548</v>
      </c>
      <c r="F302" s="34">
        <f t="shared" si="32"/>
        <v>0.6129032258</v>
      </c>
      <c r="G302" s="35">
        <f t="shared" si="33"/>
        <v>6730.163788</v>
      </c>
      <c r="H302" s="32"/>
      <c r="I302" s="34">
        <f t="shared" si="1"/>
        <v>43</v>
      </c>
      <c r="J302" s="32"/>
      <c r="K302" s="27"/>
      <c r="L302" s="9">
        <f t="shared" si="3"/>
        <v>43539.86612</v>
      </c>
      <c r="M302" s="27"/>
      <c r="N302" s="18"/>
      <c r="O302" s="18"/>
      <c r="P302" s="18"/>
      <c r="Q302" s="18"/>
      <c r="R302" s="18"/>
      <c r="S302" s="18"/>
      <c r="T302" s="18"/>
      <c r="U302" s="18"/>
      <c r="V302" s="18"/>
      <c r="W302" s="25"/>
      <c r="X302" s="25"/>
      <c r="Y302" s="25"/>
      <c r="Z302" s="25"/>
    </row>
    <row r="303">
      <c r="A303" s="28"/>
      <c r="B303" s="19">
        <v>41210.0</v>
      </c>
      <c r="C303" s="20">
        <v>44.0</v>
      </c>
      <c r="D303" s="26">
        <v>302.0</v>
      </c>
      <c r="E303" s="34">
        <f t="shared" si="31"/>
        <v>6733.193548</v>
      </c>
      <c r="F303" s="34">
        <f t="shared" si="32"/>
        <v>0.5806451613</v>
      </c>
      <c r="G303" s="35">
        <f t="shared" si="33"/>
        <v>6729.911308</v>
      </c>
      <c r="H303" s="32"/>
      <c r="I303" s="34">
        <f t="shared" si="1"/>
        <v>44</v>
      </c>
      <c r="J303" s="35">
        <f>SUM(G303:G309)</f>
        <v>47104.07707</v>
      </c>
      <c r="K303" s="24">
        <v>47104.07707</v>
      </c>
      <c r="L303" s="9">
        <f t="shared" si="3"/>
        <v>43539.86612</v>
      </c>
      <c r="M303" s="24">
        <v>43539.86612</v>
      </c>
      <c r="N303" s="25">
        <v>12664.26125</v>
      </c>
      <c r="O303" s="25">
        <v>11415.45448</v>
      </c>
      <c r="P303" s="25">
        <v>2791.879255</v>
      </c>
      <c r="Q303" s="25">
        <v>20045.61936</v>
      </c>
      <c r="R303" s="18"/>
      <c r="S303" s="25">
        <v>11800.91552</v>
      </c>
      <c r="T303" s="25">
        <v>9942.439003</v>
      </c>
      <c r="U303" s="25">
        <v>2588.122711</v>
      </c>
      <c r="V303" s="25">
        <v>19708.10187</v>
      </c>
      <c r="W303" s="25">
        <v>863.3457314</v>
      </c>
      <c r="X303" s="25">
        <v>1473.015473</v>
      </c>
      <c r="Y303" s="25">
        <v>203.7565442</v>
      </c>
      <c r="Z303" s="25">
        <v>337.5174989</v>
      </c>
    </row>
    <row r="304">
      <c r="A304" s="28"/>
      <c r="B304" s="19">
        <v>41211.0</v>
      </c>
      <c r="C304" s="20">
        <v>44.0</v>
      </c>
      <c r="D304" s="26">
        <v>303.0</v>
      </c>
      <c r="E304" s="34">
        <f t="shared" si="31"/>
        <v>6733.193548</v>
      </c>
      <c r="F304" s="34">
        <f t="shared" si="32"/>
        <v>0.5483870968</v>
      </c>
      <c r="G304" s="35">
        <f t="shared" si="33"/>
        <v>6729.658828</v>
      </c>
      <c r="H304" s="32"/>
      <c r="I304" s="34">
        <f t="shared" si="1"/>
        <v>44</v>
      </c>
      <c r="J304" s="32"/>
      <c r="K304" s="27"/>
      <c r="L304" s="9">
        <f t="shared" si="3"/>
        <v>43539.86612</v>
      </c>
      <c r="M304" s="27"/>
      <c r="N304" s="18"/>
      <c r="O304" s="18"/>
      <c r="P304" s="18"/>
      <c r="Q304" s="18"/>
      <c r="R304" s="18"/>
      <c r="S304" s="18"/>
      <c r="T304" s="18"/>
      <c r="U304" s="18"/>
      <c r="V304" s="18"/>
      <c r="W304" s="25"/>
      <c r="X304" s="25"/>
      <c r="Y304" s="25"/>
      <c r="Z304" s="25"/>
    </row>
    <row r="305">
      <c r="A305" s="28"/>
      <c r="B305" s="19">
        <v>41212.0</v>
      </c>
      <c r="C305" s="20">
        <v>44.0</v>
      </c>
      <c r="D305" s="26">
        <v>304.0</v>
      </c>
      <c r="E305" s="34">
        <f t="shared" si="31"/>
        <v>6733.193548</v>
      </c>
      <c r="F305" s="34">
        <f t="shared" si="32"/>
        <v>0.5161290323</v>
      </c>
      <c r="G305" s="35">
        <f t="shared" si="33"/>
        <v>6729.406348</v>
      </c>
      <c r="H305" s="32"/>
      <c r="I305" s="34">
        <f t="shared" si="1"/>
        <v>44</v>
      </c>
      <c r="J305" s="32"/>
      <c r="K305" s="27"/>
      <c r="L305" s="9">
        <f t="shared" si="3"/>
        <v>43539.86612</v>
      </c>
      <c r="M305" s="27"/>
      <c r="N305" s="18"/>
      <c r="O305" s="18"/>
      <c r="P305" s="18"/>
      <c r="Q305" s="18"/>
      <c r="R305" s="18"/>
      <c r="S305" s="18"/>
      <c r="T305" s="18"/>
      <c r="U305" s="18"/>
      <c r="V305" s="18"/>
      <c r="W305" s="25"/>
      <c r="X305" s="25"/>
      <c r="Y305" s="25"/>
      <c r="Z305" s="25"/>
    </row>
    <row r="306">
      <c r="A306" s="28"/>
      <c r="B306" s="19">
        <v>41213.0</v>
      </c>
      <c r="C306" s="20">
        <v>44.0</v>
      </c>
      <c r="D306" s="26">
        <v>305.0</v>
      </c>
      <c r="E306" s="34">
        <f t="shared" si="31"/>
        <v>6733.193548</v>
      </c>
      <c r="F306" s="34">
        <f t="shared" si="32"/>
        <v>0.4838709677</v>
      </c>
      <c r="G306" s="35">
        <f t="shared" si="33"/>
        <v>6729.153867</v>
      </c>
      <c r="H306" s="32"/>
      <c r="I306" s="34">
        <f t="shared" si="1"/>
        <v>44</v>
      </c>
      <c r="J306" s="32"/>
      <c r="K306" s="27"/>
      <c r="L306" s="9">
        <f t="shared" si="3"/>
        <v>43539.86612</v>
      </c>
      <c r="M306" s="27"/>
      <c r="N306" s="18"/>
      <c r="O306" s="18"/>
      <c r="P306" s="18"/>
      <c r="Q306" s="18"/>
      <c r="R306" s="18"/>
      <c r="S306" s="18"/>
      <c r="T306" s="18"/>
      <c r="U306" s="18"/>
      <c r="V306" s="18"/>
      <c r="W306" s="25"/>
      <c r="X306" s="25"/>
      <c r="Y306" s="25"/>
      <c r="Z306" s="25"/>
    </row>
    <row r="307">
      <c r="A307" s="13" t="s">
        <v>74</v>
      </c>
      <c r="B307" s="19">
        <v>41214.0</v>
      </c>
      <c r="C307" s="20">
        <v>44.0</v>
      </c>
      <c r="D307" s="26">
        <v>306.0</v>
      </c>
      <c r="E307" s="34">
        <f>A308/30</f>
        <v>6725.366667</v>
      </c>
      <c r="F307" s="34">
        <f t="shared" si="32"/>
        <v>0.4516129032</v>
      </c>
      <c r="G307" s="35">
        <f t="shared" si="33"/>
        <v>6728.901387</v>
      </c>
      <c r="H307" s="32"/>
      <c r="I307" s="34">
        <f t="shared" si="1"/>
        <v>44</v>
      </c>
      <c r="J307" s="32"/>
      <c r="K307" s="27"/>
      <c r="L307" s="9">
        <f t="shared" si="3"/>
        <v>43539.86612</v>
      </c>
      <c r="M307" s="27"/>
      <c r="N307" s="18"/>
      <c r="O307" s="18"/>
      <c r="P307" s="18"/>
      <c r="Q307" s="18"/>
      <c r="R307" s="18"/>
      <c r="S307" s="18"/>
      <c r="T307" s="18"/>
      <c r="U307" s="18"/>
      <c r="V307" s="18"/>
      <c r="W307" s="25"/>
      <c r="X307" s="25"/>
      <c r="Y307" s="25"/>
      <c r="Z307" s="25"/>
    </row>
    <row r="308">
      <c r="A308" s="20">
        <v>201761.0</v>
      </c>
      <c r="B308" s="19">
        <v>41215.0</v>
      </c>
      <c r="C308" s="20">
        <v>44.0</v>
      </c>
      <c r="D308" s="26">
        <v>307.0</v>
      </c>
      <c r="E308" s="34">
        <f t="shared" ref="E308:E336" si="34">E307</f>
        <v>6725.366667</v>
      </c>
      <c r="F308" s="34">
        <f t="shared" si="32"/>
        <v>0.4193548387</v>
      </c>
      <c r="G308" s="35">
        <f t="shared" si="33"/>
        <v>6728.648907</v>
      </c>
      <c r="H308" s="32"/>
      <c r="I308" s="34">
        <f t="shared" si="1"/>
        <v>44</v>
      </c>
      <c r="J308" s="32"/>
      <c r="K308" s="27"/>
      <c r="L308" s="9">
        <f t="shared" si="3"/>
        <v>43539.86612</v>
      </c>
      <c r="M308" s="27"/>
      <c r="N308" s="18"/>
      <c r="O308" s="18"/>
      <c r="P308" s="18"/>
      <c r="Q308" s="18"/>
      <c r="R308" s="18"/>
      <c r="S308" s="18"/>
      <c r="T308" s="18"/>
      <c r="U308" s="18"/>
      <c r="V308" s="18"/>
      <c r="W308" s="25"/>
      <c r="X308" s="25"/>
      <c r="Y308" s="25"/>
      <c r="Z308" s="25"/>
    </row>
    <row r="309">
      <c r="A309" s="28"/>
      <c r="B309" s="19">
        <v>41216.0</v>
      </c>
      <c r="C309" s="20">
        <v>44.0</v>
      </c>
      <c r="D309" s="26">
        <v>308.0</v>
      </c>
      <c r="E309" s="34">
        <f t="shared" si="34"/>
        <v>6725.366667</v>
      </c>
      <c r="F309" s="34">
        <f t="shared" si="32"/>
        <v>0.3870967742</v>
      </c>
      <c r="G309" s="35">
        <f t="shared" si="33"/>
        <v>6728.396427</v>
      </c>
      <c r="H309" s="32"/>
      <c r="I309" s="34">
        <f t="shared" si="1"/>
        <v>44</v>
      </c>
      <c r="J309" s="32"/>
      <c r="K309" s="27"/>
      <c r="L309" s="9">
        <f t="shared" si="3"/>
        <v>43539.86612</v>
      </c>
      <c r="M309" s="27"/>
      <c r="N309" s="18"/>
      <c r="O309" s="18"/>
      <c r="P309" s="18"/>
      <c r="Q309" s="18"/>
      <c r="R309" s="18"/>
      <c r="S309" s="18"/>
      <c r="T309" s="18"/>
      <c r="U309" s="18"/>
      <c r="V309" s="18"/>
      <c r="W309" s="25"/>
      <c r="X309" s="25"/>
      <c r="Y309" s="25"/>
      <c r="Z309" s="25"/>
    </row>
    <row r="310">
      <c r="A310" s="28"/>
      <c r="B310" s="19">
        <v>41217.0</v>
      </c>
      <c r="C310" s="20">
        <v>45.0</v>
      </c>
      <c r="D310" s="26">
        <v>309.0</v>
      </c>
      <c r="E310" s="34">
        <f t="shared" si="34"/>
        <v>6725.366667</v>
      </c>
      <c r="F310" s="34">
        <f t="shared" si="32"/>
        <v>0.3548387097</v>
      </c>
      <c r="G310" s="35">
        <f t="shared" si="33"/>
        <v>6728.143947</v>
      </c>
      <c r="H310" s="32"/>
      <c r="I310" s="34">
        <f t="shared" si="1"/>
        <v>45</v>
      </c>
      <c r="J310" s="35">
        <f>SUM(G310:G316)</f>
        <v>47091.70555</v>
      </c>
      <c r="K310" s="24">
        <v>47091.70555</v>
      </c>
      <c r="L310" s="9">
        <f t="shared" si="3"/>
        <v>43539.86612</v>
      </c>
      <c r="M310" s="24">
        <v>43539.86612</v>
      </c>
      <c r="N310" s="25">
        <v>12228.86421</v>
      </c>
      <c r="O310" s="25">
        <v>11280.58661</v>
      </c>
      <c r="P310" s="25">
        <v>2736.119895</v>
      </c>
      <c r="Q310" s="25">
        <v>21237.49187</v>
      </c>
      <c r="R310" s="18"/>
      <c r="S310" s="25">
        <v>11815.93267</v>
      </c>
      <c r="T310" s="25">
        <v>10304.01942</v>
      </c>
      <c r="U310" s="25">
        <v>2757.482278</v>
      </c>
      <c r="V310" s="25">
        <v>18117.19958</v>
      </c>
      <c r="W310" s="25">
        <v>412.9315371</v>
      </c>
      <c r="X310" s="25">
        <v>976.567195</v>
      </c>
      <c r="Y310" s="25">
        <v>-21.36238274</v>
      </c>
      <c r="Z310" s="25">
        <v>3120.292289</v>
      </c>
    </row>
    <row r="311">
      <c r="A311" s="28"/>
      <c r="B311" s="19">
        <v>41218.0</v>
      </c>
      <c r="C311" s="20">
        <v>45.0</v>
      </c>
      <c r="D311" s="26">
        <v>310.0</v>
      </c>
      <c r="E311" s="34">
        <f t="shared" si="34"/>
        <v>6725.366667</v>
      </c>
      <c r="F311" s="34">
        <f t="shared" si="32"/>
        <v>0.3225806452</v>
      </c>
      <c r="G311" s="35">
        <f t="shared" si="33"/>
        <v>6727.891467</v>
      </c>
      <c r="H311" s="32"/>
      <c r="I311" s="34">
        <f t="shared" si="1"/>
        <v>45</v>
      </c>
      <c r="J311" s="32"/>
      <c r="K311" s="27"/>
      <c r="L311" s="9">
        <f t="shared" si="3"/>
        <v>43539.86612</v>
      </c>
      <c r="M311" s="27"/>
      <c r="N311" s="18"/>
      <c r="O311" s="18"/>
      <c r="P311" s="18"/>
      <c r="Q311" s="18"/>
      <c r="R311" s="18"/>
      <c r="S311" s="18"/>
      <c r="T311" s="18"/>
      <c r="U311" s="18"/>
      <c r="V311" s="18"/>
      <c r="W311" s="25"/>
      <c r="X311" s="25"/>
      <c r="Y311" s="25"/>
      <c r="Z311" s="25"/>
    </row>
    <row r="312">
      <c r="A312" s="28"/>
      <c r="B312" s="19">
        <v>41219.0</v>
      </c>
      <c r="C312" s="20">
        <v>45.0</v>
      </c>
      <c r="D312" s="26">
        <v>311.0</v>
      </c>
      <c r="E312" s="34">
        <f t="shared" si="34"/>
        <v>6725.366667</v>
      </c>
      <c r="F312" s="34">
        <f t="shared" si="32"/>
        <v>0.2903225806</v>
      </c>
      <c r="G312" s="35">
        <f t="shared" si="33"/>
        <v>6727.638987</v>
      </c>
      <c r="H312" s="32"/>
      <c r="I312" s="34">
        <f t="shared" si="1"/>
        <v>45</v>
      </c>
      <c r="J312" s="32"/>
      <c r="K312" s="27"/>
      <c r="L312" s="9">
        <f t="shared" si="3"/>
        <v>43539.86612</v>
      </c>
      <c r="M312" s="27"/>
      <c r="N312" s="18"/>
      <c r="O312" s="18"/>
      <c r="P312" s="18"/>
      <c r="Q312" s="18"/>
      <c r="R312" s="18"/>
      <c r="S312" s="18"/>
      <c r="T312" s="18"/>
      <c r="U312" s="18"/>
      <c r="V312" s="18"/>
      <c r="W312" s="25"/>
      <c r="X312" s="25"/>
      <c r="Y312" s="25"/>
      <c r="Z312" s="25"/>
    </row>
    <row r="313">
      <c r="A313" s="28"/>
      <c r="B313" s="19">
        <v>41220.0</v>
      </c>
      <c r="C313" s="20">
        <v>45.0</v>
      </c>
      <c r="D313" s="26">
        <v>312.0</v>
      </c>
      <c r="E313" s="34">
        <f t="shared" si="34"/>
        <v>6725.366667</v>
      </c>
      <c r="F313" s="34">
        <f t="shared" si="32"/>
        <v>0.2580645161</v>
      </c>
      <c r="G313" s="35">
        <f t="shared" si="33"/>
        <v>6727.386507</v>
      </c>
      <c r="H313" s="32"/>
      <c r="I313" s="34">
        <f t="shared" si="1"/>
        <v>45</v>
      </c>
      <c r="J313" s="32"/>
      <c r="K313" s="27"/>
      <c r="L313" s="9">
        <f t="shared" si="3"/>
        <v>43539.86612</v>
      </c>
      <c r="M313" s="27"/>
      <c r="N313" s="18"/>
      <c r="O313" s="18"/>
      <c r="P313" s="18"/>
      <c r="Q313" s="18"/>
      <c r="R313" s="18"/>
      <c r="S313" s="18"/>
      <c r="T313" s="18"/>
      <c r="U313" s="18"/>
      <c r="V313" s="18"/>
      <c r="W313" s="25"/>
      <c r="X313" s="25"/>
      <c r="Y313" s="25"/>
      <c r="Z313" s="25"/>
    </row>
    <row r="314">
      <c r="A314" s="28"/>
      <c r="B314" s="19">
        <v>41221.0</v>
      </c>
      <c r="C314" s="20">
        <v>45.0</v>
      </c>
      <c r="D314" s="26">
        <v>313.0</v>
      </c>
      <c r="E314" s="34">
        <f t="shared" si="34"/>
        <v>6725.366667</v>
      </c>
      <c r="F314" s="34">
        <f t="shared" si="32"/>
        <v>0.2258064516</v>
      </c>
      <c r="G314" s="35">
        <f t="shared" si="33"/>
        <v>6727.134027</v>
      </c>
      <c r="H314" s="32"/>
      <c r="I314" s="34">
        <f t="shared" si="1"/>
        <v>45</v>
      </c>
      <c r="J314" s="32"/>
      <c r="K314" s="27"/>
      <c r="L314" s="9">
        <f t="shared" si="3"/>
        <v>43539.86612</v>
      </c>
      <c r="M314" s="27"/>
      <c r="N314" s="18"/>
      <c r="O314" s="18"/>
      <c r="P314" s="18"/>
      <c r="Q314" s="18"/>
      <c r="R314" s="18"/>
      <c r="S314" s="18"/>
      <c r="T314" s="18"/>
      <c r="U314" s="18"/>
      <c r="V314" s="18"/>
      <c r="W314" s="25"/>
      <c r="X314" s="25"/>
      <c r="Y314" s="25"/>
      <c r="Z314" s="25"/>
    </row>
    <row r="315">
      <c r="A315" s="28"/>
      <c r="B315" s="19">
        <v>41222.0</v>
      </c>
      <c r="C315" s="20">
        <v>45.0</v>
      </c>
      <c r="D315" s="26">
        <v>314.0</v>
      </c>
      <c r="E315" s="34">
        <f t="shared" si="34"/>
        <v>6725.366667</v>
      </c>
      <c r="F315" s="34">
        <f t="shared" si="32"/>
        <v>0.1935483871</v>
      </c>
      <c r="G315" s="35">
        <f t="shared" si="33"/>
        <v>6726.881547</v>
      </c>
      <c r="H315" s="32"/>
      <c r="I315" s="34">
        <f t="shared" si="1"/>
        <v>45</v>
      </c>
      <c r="J315" s="32"/>
      <c r="K315" s="27"/>
      <c r="L315" s="9">
        <f t="shared" si="3"/>
        <v>43539.86612</v>
      </c>
      <c r="M315" s="27"/>
      <c r="N315" s="18"/>
      <c r="O315" s="18"/>
      <c r="P315" s="18"/>
      <c r="Q315" s="18"/>
      <c r="R315" s="18"/>
      <c r="S315" s="18"/>
      <c r="T315" s="18"/>
      <c r="U315" s="18"/>
      <c r="V315" s="18"/>
      <c r="W315" s="25"/>
      <c r="X315" s="25"/>
      <c r="Y315" s="25"/>
      <c r="Z315" s="25"/>
    </row>
    <row r="316">
      <c r="A316" s="28"/>
      <c r="B316" s="19">
        <v>41223.0</v>
      </c>
      <c r="C316" s="20">
        <v>45.0</v>
      </c>
      <c r="D316" s="26">
        <v>315.0</v>
      </c>
      <c r="E316" s="34">
        <f t="shared" si="34"/>
        <v>6725.366667</v>
      </c>
      <c r="F316" s="34">
        <f t="shared" si="32"/>
        <v>0.1612903226</v>
      </c>
      <c r="G316" s="35">
        <f t="shared" si="33"/>
        <v>6726.629067</v>
      </c>
      <c r="H316" s="32"/>
      <c r="I316" s="34">
        <f t="shared" si="1"/>
        <v>45</v>
      </c>
      <c r="J316" s="32"/>
      <c r="K316" s="27"/>
      <c r="L316" s="9">
        <f t="shared" si="3"/>
        <v>43539.86612</v>
      </c>
      <c r="M316" s="27"/>
      <c r="N316" s="18"/>
      <c r="O316" s="18"/>
      <c r="P316" s="18"/>
      <c r="Q316" s="18"/>
      <c r="R316" s="18"/>
      <c r="S316" s="18"/>
      <c r="T316" s="18"/>
      <c r="U316" s="18"/>
      <c r="V316" s="18"/>
      <c r="W316" s="25"/>
      <c r="X316" s="25"/>
      <c r="Y316" s="25"/>
      <c r="Z316" s="25"/>
    </row>
    <row r="317">
      <c r="A317" s="28"/>
      <c r="B317" s="19">
        <v>41224.0</v>
      </c>
      <c r="C317" s="20">
        <v>46.0</v>
      </c>
      <c r="D317" s="26">
        <v>316.0</v>
      </c>
      <c r="E317" s="34">
        <f t="shared" si="34"/>
        <v>6725.366667</v>
      </c>
      <c r="F317" s="34">
        <f t="shared" si="32"/>
        <v>0.1290322581</v>
      </c>
      <c r="G317" s="35">
        <f t="shared" si="33"/>
        <v>6726.376587</v>
      </c>
      <c r="H317" s="32"/>
      <c r="I317" s="34">
        <f t="shared" si="1"/>
        <v>46</v>
      </c>
      <c r="J317" s="35">
        <f>SUM(G317:G323)</f>
        <v>47092.33545</v>
      </c>
      <c r="K317" s="24">
        <v>47092.33545</v>
      </c>
      <c r="L317" s="9">
        <f t="shared" si="3"/>
        <v>43539.86612</v>
      </c>
      <c r="M317" s="24">
        <v>43539.86612</v>
      </c>
      <c r="N317" s="25">
        <v>12374.99522</v>
      </c>
      <c r="O317" s="25">
        <v>11158.37686</v>
      </c>
      <c r="P317" s="25">
        <v>2900.820377</v>
      </c>
      <c r="Q317" s="25">
        <v>21152.32426</v>
      </c>
      <c r="R317" s="18"/>
      <c r="S317" s="25">
        <v>11487.39432</v>
      </c>
      <c r="T317" s="25">
        <v>10197.5815</v>
      </c>
      <c r="U317" s="25">
        <v>2621.905401</v>
      </c>
      <c r="V317" s="25">
        <v>18922.33849</v>
      </c>
      <c r="W317" s="25">
        <v>887.6008968</v>
      </c>
      <c r="X317" s="25">
        <v>960.7953523</v>
      </c>
      <c r="Y317" s="25">
        <v>278.9149763</v>
      </c>
      <c r="Z317" s="25">
        <v>2229.985773</v>
      </c>
    </row>
    <row r="318">
      <c r="A318" s="28"/>
      <c r="B318" s="19">
        <v>41225.0</v>
      </c>
      <c r="C318" s="20">
        <v>46.0</v>
      </c>
      <c r="D318" s="26">
        <v>317.0</v>
      </c>
      <c r="E318" s="34">
        <f t="shared" si="34"/>
        <v>6725.366667</v>
      </c>
      <c r="F318" s="34">
        <f t="shared" si="32"/>
        <v>0.09677419355</v>
      </c>
      <c r="G318" s="35">
        <f t="shared" si="33"/>
        <v>6726.124107</v>
      </c>
      <c r="H318" s="32"/>
      <c r="I318" s="34">
        <f t="shared" si="1"/>
        <v>46</v>
      </c>
      <c r="J318" s="32"/>
      <c r="K318" s="27"/>
      <c r="L318" s="9">
        <f t="shared" si="3"/>
        <v>43539.86612</v>
      </c>
      <c r="M318" s="27"/>
      <c r="N318" s="18"/>
      <c r="O318" s="18"/>
      <c r="P318" s="18"/>
      <c r="Q318" s="18"/>
      <c r="R318" s="18"/>
      <c r="S318" s="18"/>
      <c r="T318" s="18"/>
      <c r="U318" s="18"/>
      <c r="V318" s="18"/>
      <c r="W318" s="25"/>
      <c r="X318" s="25"/>
      <c r="Y318" s="25"/>
      <c r="Z318" s="25"/>
    </row>
    <row r="319">
      <c r="A319" s="28"/>
      <c r="B319" s="19">
        <v>41226.0</v>
      </c>
      <c r="C319" s="20">
        <v>46.0</v>
      </c>
      <c r="D319" s="26">
        <v>318.0</v>
      </c>
      <c r="E319" s="34">
        <f t="shared" si="34"/>
        <v>6725.366667</v>
      </c>
      <c r="F319" s="34">
        <f t="shared" si="32"/>
        <v>0.06451612903</v>
      </c>
      <c r="G319" s="35">
        <f t="shared" si="33"/>
        <v>6725.871627</v>
      </c>
      <c r="H319" s="32"/>
      <c r="I319" s="34">
        <f t="shared" si="1"/>
        <v>46</v>
      </c>
      <c r="J319" s="32"/>
      <c r="K319" s="27"/>
      <c r="L319" s="9">
        <f t="shared" si="3"/>
        <v>43539.86612</v>
      </c>
      <c r="M319" s="27"/>
      <c r="N319" s="18"/>
      <c r="O319" s="18"/>
      <c r="P319" s="18"/>
      <c r="Q319" s="18"/>
      <c r="R319" s="18"/>
      <c r="S319" s="18"/>
      <c r="T319" s="18"/>
      <c r="U319" s="18"/>
      <c r="V319" s="18"/>
      <c r="W319" s="25"/>
      <c r="X319" s="25"/>
      <c r="Y319" s="25"/>
      <c r="Z319" s="25"/>
    </row>
    <row r="320">
      <c r="A320" s="28"/>
      <c r="B320" s="19">
        <v>41227.0</v>
      </c>
      <c r="C320" s="20">
        <v>46.0</v>
      </c>
      <c r="D320" s="26">
        <v>319.0</v>
      </c>
      <c r="E320" s="34">
        <f t="shared" si="34"/>
        <v>6725.366667</v>
      </c>
      <c r="F320" s="34">
        <f t="shared" si="32"/>
        <v>0.03225806452</v>
      </c>
      <c r="G320" s="35">
        <f t="shared" si="33"/>
        <v>6725.619147</v>
      </c>
      <c r="H320" s="32"/>
      <c r="I320" s="34">
        <f t="shared" si="1"/>
        <v>46</v>
      </c>
      <c r="J320" s="32"/>
      <c r="K320" s="27"/>
      <c r="L320" s="9">
        <f t="shared" si="3"/>
        <v>43539.86612</v>
      </c>
      <c r="M320" s="27"/>
      <c r="N320" s="18"/>
      <c r="O320" s="18"/>
      <c r="P320" s="18"/>
      <c r="Q320" s="18"/>
      <c r="R320" s="18"/>
      <c r="S320" s="18"/>
      <c r="T320" s="18"/>
      <c r="U320" s="18"/>
      <c r="V320" s="18"/>
      <c r="W320" s="25"/>
      <c r="X320" s="25"/>
      <c r="Y320" s="25"/>
      <c r="Z320" s="25"/>
    </row>
    <row r="321">
      <c r="A321" s="13"/>
      <c r="B321" s="19">
        <v>41228.0</v>
      </c>
      <c r="C321" s="20">
        <v>46.0</v>
      </c>
      <c r="D321" s="26">
        <v>320.0</v>
      </c>
      <c r="E321" s="34">
        <f t="shared" si="34"/>
        <v>6725.366667</v>
      </c>
      <c r="F321" s="34">
        <f t="shared" si="32"/>
        <v>0</v>
      </c>
      <c r="G321" s="35">
        <f>E321</f>
        <v>6725.366667</v>
      </c>
      <c r="H321" s="32"/>
      <c r="I321" s="34">
        <f t="shared" si="1"/>
        <v>46</v>
      </c>
      <c r="J321" s="32"/>
      <c r="K321" s="27"/>
      <c r="L321" s="9">
        <f t="shared" si="3"/>
        <v>43539.86612</v>
      </c>
      <c r="M321" s="27"/>
      <c r="N321" s="18"/>
      <c r="O321" s="18"/>
      <c r="P321" s="18"/>
      <c r="Q321" s="18"/>
      <c r="R321" s="18"/>
      <c r="S321" s="18"/>
      <c r="T321" s="18"/>
      <c r="U321" s="18"/>
      <c r="V321" s="18"/>
      <c r="W321" s="25"/>
      <c r="X321" s="25"/>
      <c r="Y321" s="25"/>
      <c r="Z321" s="25"/>
    </row>
    <row r="322">
      <c r="A322" s="13"/>
      <c r="B322" s="19">
        <v>41229.0</v>
      </c>
      <c r="C322" s="20">
        <v>46.0</v>
      </c>
      <c r="D322" s="26">
        <v>321.0</v>
      </c>
      <c r="E322" s="34">
        <f t="shared" si="34"/>
        <v>6725.366667</v>
      </c>
      <c r="F322" s="34">
        <f t="shared" ref="F322:F350" si="35">abs((D322-350)/(350-320))</f>
        <v>0.9666666667</v>
      </c>
      <c r="G322" s="35">
        <f t="shared" ref="G322:G350" si="36">E307*F322+(1-F322)*E337</f>
        <v>6729.447993</v>
      </c>
      <c r="H322" s="32"/>
      <c r="I322" s="34">
        <f t="shared" si="1"/>
        <v>46</v>
      </c>
      <c r="J322" s="32"/>
      <c r="K322" s="27"/>
      <c r="L322" s="9">
        <f t="shared" si="3"/>
        <v>43539.86612</v>
      </c>
      <c r="M322" s="27"/>
      <c r="N322" s="18"/>
      <c r="O322" s="18"/>
      <c r="P322" s="18"/>
      <c r="Q322" s="18"/>
      <c r="R322" s="18"/>
      <c r="S322" s="18"/>
      <c r="T322" s="18"/>
      <c r="U322" s="18"/>
      <c r="V322" s="18"/>
      <c r="W322" s="25"/>
      <c r="X322" s="25"/>
      <c r="Y322" s="25"/>
      <c r="Z322" s="25"/>
    </row>
    <row r="323">
      <c r="A323" s="28"/>
      <c r="B323" s="19">
        <v>41230.0</v>
      </c>
      <c r="C323" s="20">
        <v>46.0</v>
      </c>
      <c r="D323" s="26">
        <v>322.0</v>
      </c>
      <c r="E323" s="34">
        <f t="shared" si="34"/>
        <v>6725.366667</v>
      </c>
      <c r="F323" s="34">
        <f t="shared" si="35"/>
        <v>0.9333333333</v>
      </c>
      <c r="G323" s="35">
        <f t="shared" si="36"/>
        <v>6733.529319</v>
      </c>
      <c r="H323" s="32"/>
      <c r="I323" s="34">
        <f t="shared" si="1"/>
        <v>46</v>
      </c>
      <c r="J323" s="32"/>
      <c r="K323" s="27"/>
      <c r="L323" s="9">
        <f t="shared" si="3"/>
        <v>43539.86612</v>
      </c>
      <c r="M323" s="27"/>
      <c r="N323" s="18"/>
      <c r="O323" s="18"/>
      <c r="P323" s="18"/>
      <c r="Q323" s="18"/>
      <c r="R323" s="18"/>
      <c r="S323" s="18"/>
      <c r="T323" s="18"/>
      <c r="U323" s="18"/>
      <c r="V323" s="18"/>
      <c r="W323" s="25"/>
      <c r="X323" s="25"/>
      <c r="Y323" s="25"/>
      <c r="Z323" s="25"/>
    </row>
    <row r="324">
      <c r="A324" s="28"/>
      <c r="B324" s="19">
        <v>41231.0</v>
      </c>
      <c r="C324" s="20">
        <v>47.0</v>
      </c>
      <c r="D324" s="26">
        <v>323.0</v>
      </c>
      <c r="E324" s="34">
        <f t="shared" si="34"/>
        <v>6725.366667</v>
      </c>
      <c r="F324" s="34">
        <f t="shared" si="35"/>
        <v>0.9</v>
      </c>
      <c r="G324" s="35">
        <f t="shared" si="36"/>
        <v>6737.610645</v>
      </c>
      <c r="H324" s="32"/>
      <c r="I324" s="34">
        <f t="shared" si="1"/>
        <v>47</v>
      </c>
      <c r="J324" s="35">
        <f>SUM(G324:G330)</f>
        <v>47248.98237</v>
      </c>
      <c r="K324" s="24">
        <v>47248.98237</v>
      </c>
      <c r="L324" s="9">
        <f t="shared" si="3"/>
        <v>43539.86612</v>
      </c>
      <c r="M324" s="24">
        <v>43539.86612</v>
      </c>
      <c r="N324" s="25">
        <v>12220.52112</v>
      </c>
      <c r="O324" s="25">
        <v>11352.5084</v>
      </c>
      <c r="P324" s="25">
        <v>2791.459982</v>
      </c>
      <c r="Q324" s="25">
        <v>20024.02827</v>
      </c>
      <c r="R324" s="18"/>
      <c r="S324" s="25">
        <v>12162.14654</v>
      </c>
      <c r="T324" s="25">
        <v>10421.7517</v>
      </c>
      <c r="U324" s="25">
        <v>2656.001561</v>
      </c>
      <c r="V324" s="25">
        <v>19405.40704</v>
      </c>
      <c r="W324" s="25">
        <v>58.37458946</v>
      </c>
      <c r="X324" s="25">
        <v>930.756701</v>
      </c>
      <c r="Y324" s="25">
        <v>135.4584215</v>
      </c>
      <c r="Z324" s="25">
        <v>618.621234</v>
      </c>
    </row>
    <row r="325">
      <c r="A325" s="28"/>
      <c r="B325" s="19">
        <v>41232.0</v>
      </c>
      <c r="C325" s="20">
        <v>47.0</v>
      </c>
      <c r="D325" s="26">
        <v>324.0</v>
      </c>
      <c r="E325" s="34">
        <f t="shared" si="34"/>
        <v>6725.366667</v>
      </c>
      <c r="F325" s="34">
        <f t="shared" si="35"/>
        <v>0.8666666667</v>
      </c>
      <c r="G325" s="35">
        <f t="shared" si="36"/>
        <v>6741.691971</v>
      </c>
      <c r="H325" s="32"/>
      <c r="I325" s="34">
        <f t="shared" si="1"/>
        <v>47</v>
      </c>
      <c r="J325" s="32"/>
      <c r="K325" s="27"/>
      <c r="L325" s="9">
        <f t="shared" si="3"/>
        <v>43539.86612</v>
      </c>
      <c r="M325" s="27"/>
      <c r="N325" s="18"/>
      <c r="O325" s="18"/>
      <c r="P325" s="18"/>
      <c r="Q325" s="18"/>
      <c r="R325" s="18"/>
      <c r="S325" s="18"/>
      <c r="T325" s="18"/>
      <c r="U325" s="18"/>
      <c r="V325" s="18"/>
      <c r="W325" s="25"/>
      <c r="X325" s="25"/>
      <c r="Y325" s="25"/>
      <c r="Z325" s="25"/>
    </row>
    <row r="326">
      <c r="A326" s="28"/>
      <c r="B326" s="19">
        <v>41233.0</v>
      </c>
      <c r="C326" s="20">
        <v>47.0</v>
      </c>
      <c r="D326" s="26">
        <v>325.0</v>
      </c>
      <c r="E326" s="34">
        <f t="shared" si="34"/>
        <v>6725.366667</v>
      </c>
      <c r="F326" s="34">
        <f t="shared" si="35"/>
        <v>0.8333333333</v>
      </c>
      <c r="G326" s="35">
        <f t="shared" si="36"/>
        <v>6745.773297</v>
      </c>
      <c r="H326" s="32"/>
      <c r="I326" s="34">
        <f t="shared" si="1"/>
        <v>47</v>
      </c>
      <c r="J326" s="32"/>
      <c r="K326" s="27"/>
      <c r="L326" s="9">
        <f t="shared" si="3"/>
        <v>43539.86612</v>
      </c>
      <c r="M326" s="27"/>
      <c r="N326" s="18"/>
      <c r="O326" s="18"/>
      <c r="P326" s="18"/>
      <c r="Q326" s="18"/>
      <c r="R326" s="18"/>
      <c r="S326" s="18"/>
      <c r="T326" s="18"/>
      <c r="U326" s="18"/>
      <c r="V326" s="18"/>
      <c r="W326" s="25"/>
      <c r="X326" s="25"/>
      <c r="Y326" s="25"/>
      <c r="Z326" s="25"/>
    </row>
    <row r="327">
      <c r="A327" s="28"/>
      <c r="B327" s="19">
        <v>41234.0</v>
      </c>
      <c r="C327" s="20">
        <v>47.0</v>
      </c>
      <c r="D327" s="26">
        <v>326.0</v>
      </c>
      <c r="E327" s="34">
        <f t="shared" si="34"/>
        <v>6725.366667</v>
      </c>
      <c r="F327" s="34">
        <f t="shared" si="35"/>
        <v>0.8</v>
      </c>
      <c r="G327" s="35">
        <f t="shared" si="36"/>
        <v>6749.854624</v>
      </c>
      <c r="H327" s="32"/>
      <c r="I327" s="34">
        <f t="shared" si="1"/>
        <v>47</v>
      </c>
      <c r="J327" s="32"/>
      <c r="K327" s="27"/>
      <c r="L327" s="9">
        <f t="shared" si="3"/>
        <v>43539.86612</v>
      </c>
      <c r="M327" s="27"/>
      <c r="N327" s="18"/>
      <c r="O327" s="18"/>
      <c r="P327" s="18"/>
      <c r="Q327" s="18"/>
      <c r="R327" s="18"/>
      <c r="S327" s="18"/>
      <c r="T327" s="18"/>
      <c r="U327" s="18"/>
      <c r="V327" s="18"/>
      <c r="W327" s="25"/>
      <c r="X327" s="25"/>
      <c r="Y327" s="25"/>
      <c r="Z327" s="25"/>
    </row>
    <row r="328">
      <c r="A328" s="28"/>
      <c r="B328" s="19">
        <v>41235.0</v>
      </c>
      <c r="C328" s="20">
        <v>47.0</v>
      </c>
      <c r="D328" s="26">
        <v>327.0</v>
      </c>
      <c r="E328" s="34">
        <f t="shared" si="34"/>
        <v>6725.366667</v>
      </c>
      <c r="F328" s="34">
        <f t="shared" si="35"/>
        <v>0.7666666667</v>
      </c>
      <c r="G328" s="35">
        <f t="shared" si="36"/>
        <v>6753.93595</v>
      </c>
      <c r="H328" s="32"/>
      <c r="I328" s="34">
        <f t="shared" si="1"/>
        <v>47</v>
      </c>
      <c r="J328" s="32"/>
      <c r="K328" s="27"/>
      <c r="L328" s="9">
        <f t="shared" si="3"/>
        <v>43539.86612</v>
      </c>
      <c r="M328" s="27"/>
      <c r="N328" s="18"/>
      <c r="O328" s="18"/>
      <c r="P328" s="18"/>
      <c r="Q328" s="18"/>
      <c r="R328" s="18"/>
      <c r="S328" s="18"/>
      <c r="T328" s="18"/>
      <c r="U328" s="18"/>
      <c r="V328" s="18"/>
      <c r="W328" s="25"/>
      <c r="X328" s="25"/>
      <c r="Y328" s="25"/>
      <c r="Z328" s="25"/>
    </row>
    <row r="329">
      <c r="A329" s="28"/>
      <c r="B329" s="19">
        <v>41236.0</v>
      </c>
      <c r="C329" s="20">
        <v>47.0</v>
      </c>
      <c r="D329" s="26">
        <v>328.0</v>
      </c>
      <c r="E329" s="34">
        <f t="shared" si="34"/>
        <v>6725.366667</v>
      </c>
      <c r="F329" s="34">
        <f t="shared" si="35"/>
        <v>0.7333333333</v>
      </c>
      <c r="G329" s="35">
        <f t="shared" si="36"/>
        <v>6758.017276</v>
      </c>
      <c r="H329" s="32"/>
      <c r="I329" s="34">
        <f t="shared" si="1"/>
        <v>47</v>
      </c>
      <c r="J329" s="32"/>
      <c r="K329" s="27"/>
      <c r="L329" s="9">
        <f t="shared" si="3"/>
        <v>43539.86612</v>
      </c>
      <c r="M329" s="27"/>
      <c r="N329" s="18"/>
      <c r="O329" s="18"/>
      <c r="P329" s="18"/>
      <c r="Q329" s="18"/>
      <c r="R329" s="18"/>
      <c r="S329" s="18"/>
      <c r="T329" s="18"/>
      <c r="U329" s="18"/>
      <c r="V329" s="18"/>
      <c r="W329" s="25"/>
      <c r="X329" s="25"/>
      <c r="Y329" s="25"/>
      <c r="Z329" s="25"/>
    </row>
    <row r="330">
      <c r="A330" s="28"/>
      <c r="B330" s="19">
        <v>41237.0</v>
      </c>
      <c r="C330" s="20">
        <v>47.0</v>
      </c>
      <c r="D330" s="26">
        <v>329.0</v>
      </c>
      <c r="E330" s="34">
        <f t="shared" si="34"/>
        <v>6725.366667</v>
      </c>
      <c r="F330" s="34">
        <f t="shared" si="35"/>
        <v>0.7</v>
      </c>
      <c r="G330" s="35">
        <f t="shared" si="36"/>
        <v>6762.098602</v>
      </c>
      <c r="H330" s="32"/>
      <c r="I330" s="34">
        <f t="shared" si="1"/>
        <v>47</v>
      </c>
      <c r="J330" s="32"/>
      <c r="K330" s="27"/>
      <c r="L330" s="9">
        <f t="shared" si="3"/>
        <v>43539.86612</v>
      </c>
      <c r="M330" s="27"/>
      <c r="N330" s="18"/>
      <c r="O330" s="18"/>
      <c r="P330" s="18"/>
      <c r="Q330" s="18"/>
      <c r="R330" s="18"/>
      <c r="S330" s="18"/>
      <c r="T330" s="18"/>
      <c r="U330" s="18"/>
      <c r="V330" s="18"/>
      <c r="W330" s="25"/>
      <c r="X330" s="25"/>
      <c r="Y330" s="25"/>
      <c r="Z330" s="25"/>
    </row>
    <row r="331">
      <c r="A331" s="28"/>
      <c r="B331" s="19">
        <v>41238.0</v>
      </c>
      <c r="C331" s="20">
        <v>48.0</v>
      </c>
      <c r="D331" s="26">
        <v>330.0</v>
      </c>
      <c r="E331" s="34">
        <f t="shared" si="34"/>
        <v>6725.366667</v>
      </c>
      <c r="F331" s="34">
        <f t="shared" si="35"/>
        <v>0.6666666667</v>
      </c>
      <c r="G331" s="35">
        <f t="shared" si="36"/>
        <v>6766.179928</v>
      </c>
      <c r="H331" s="32"/>
      <c r="I331" s="34">
        <f t="shared" si="1"/>
        <v>48</v>
      </c>
      <c r="J331" s="35">
        <f>SUM(G331:G337)</f>
        <v>47448.96735</v>
      </c>
      <c r="K331" s="24">
        <v>47448.96735</v>
      </c>
      <c r="L331" s="9">
        <f t="shared" si="3"/>
        <v>43539.86612</v>
      </c>
      <c r="M331" s="24">
        <v>43539.86612</v>
      </c>
      <c r="N331" s="25">
        <v>12886.49315</v>
      </c>
      <c r="O331" s="25">
        <v>11119.639</v>
      </c>
      <c r="P331" s="25">
        <v>2799.257838</v>
      </c>
      <c r="Q331" s="25">
        <v>20032.97511</v>
      </c>
      <c r="R331" s="18"/>
      <c r="S331" s="25">
        <v>11124.06422</v>
      </c>
      <c r="T331" s="25">
        <v>10578.56549</v>
      </c>
      <c r="U331" s="25">
        <v>2686.285313</v>
      </c>
      <c r="V331" s="25">
        <v>19349.08935</v>
      </c>
      <c r="W331" s="25">
        <v>1762.428926</v>
      </c>
      <c r="X331" s="25">
        <v>541.0735045</v>
      </c>
      <c r="Y331" s="25">
        <v>112.9725244</v>
      </c>
      <c r="Z331" s="25">
        <v>683.8857578</v>
      </c>
    </row>
    <row r="332">
      <c r="A332" s="28"/>
      <c r="B332" s="19">
        <v>41239.0</v>
      </c>
      <c r="C332" s="20">
        <v>48.0</v>
      </c>
      <c r="D332" s="26">
        <v>331.0</v>
      </c>
      <c r="E332" s="34">
        <f t="shared" si="34"/>
        <v>6725.366667</v>
      </c>
      <c r="F332" s="34">
        <f t="shared" si="35"/>
        <v>0.6333333333</v>
      </c>
      <c r="G332" s="35">
        <f t="shared" si="36"/>
        <v>6770.261254</v>
      </c>
      <c r="H332" s="32"/>
      <c r="I332" s="34">
        <f t="shared" si="1"/>
        <v>48</v>
      </c>
      <c r="J332" s="32"/>
      <c r="K332" s="27"/>
      <c r="L332" s="9">
        <f t="shared" si="3"/>
        <v>43539.86612</v>
      </c>
      <c r="M332" s="27"/>
      <c r="N332" s="18"/>
      <c r="O332" s="18"/>
      <c r="P332" s="18"/>
      <c r="Q332" s="18"/>
      <c r="R332" s="18"/>
      <c r="S332" s="18"/>
      <c r="T332" s="18"/>
      <c r="U332" s="18"/>
      <c r="V332" s="18"/>
      <c r="W332" s="25"/>
      <c r="X332" s="25"/>
      <c r="Y332" s="25"/>
      <c r="Z332" s="25"/>
    </row>
    <row r="333">
      <c r="A333" s="28"/>
      <c r="B333" s="19">
        <v>41240.0</v>
      </c>
      <c r="C333" s="20">
        <v>48.0</v>
      </c>
      <c r="D333" s="26">
        <v>332.0</v>
      </c>
      <c r="E333" s="34">
        <f t="shared" si="34"/>
        <v>6725.366667</v>
      </c>
      <c r="F333" s="34">
        <f t="shared" si="35"/>
        <v>0.6</v>
      </c>
      <c r="G333" s="35">
        <f t="shared" si="36"/>
        <v>6774.342581</v>
      </c>
      <c r="H333" s="32"/>
      <c r="I333" s="34">
        <f t="shared" si="1"/>
        <v>48</v>
      </c>
      <c r="J333" s="32"/>
      <c r="K333" s="27"/>
      <c r="L333" s="9">
        <f t="shared" si="3"/>
        <v>43539.86612</v>
      </c>
      <c r="M333" s="27"/>
      <c r="N333" s="18"/>
      <c r="O333" s="18"/>
      <c r="P333" s="18"/>
      <c r="Q333" s="18"/>
      <c r="R333" s="18"/>
      <c r="S333" s="18"/>
      <c r="T333" s="18"/>
      <c r="U333" s="18"/>
      <c r="V333" s="18"/>
      <c r="W333" s="25"/>
      <c r="X333" s="25"/>
      <c r="Y333" s="25"/>
      <c r="Z333" s="25"/>
    </row>
    <row r="334">
      <c r="A334" s="28"/>
      <c r="B334" s="19">
        <v>41241.0</v>
      </c>
      <c r="C334" s="20">
        <v>48.0</v>
      </c>
      <c r="D334" s="26">
        <v>333.0</v>
      </c>
      <c r="E334" s="34">
        <f t="shared" si="34"/>
        <v>6725.366667</v>
      </c>
      <c r="F334" s="34">
        <f t="shared" si="35"/>
        <v>0.5666666667</v>
      </c>
      <c r="G334" s="35">
        <f t="shared" si="36"/>
        <v>6778.423907</v>
      </c>
      <c r="H334" s="32"/>
      <c r="I334" s="34">
        <f t="shared" si="1"/>
        <v>48</v>
      </c>
      <c r="J334" s="32"/>
      <c r="K334" s="27"/>
      <c r="L334" s="9">
        <f t="shared" si="3"/>
        <v>43539.86612</v>
      </c>
      <c r="M334" s="27"/>
      <c r="N334" s="18"/>
      <c r="O334" s="18"/>
      <c r="P334" s="18"/>
      <c r="Q334" s="18"/>
      <c r="R334" s="18"/>
      <c r="S334" s="18"/>
      <c r="T334" s="18"/>
      <c r="U334" s="18"/>
      <c r="V334" s="18"/>
      <c r="W334" s="25"/>
      <c r="X334" s="25"/>
      <c r="Y334" s="25"/>
      <c r="Z334" s="25"/>
    </row>
    <row r="335">
      <c r="A335" s="28"/>
      <c r="B335" s="19">
        <v>41242.0</v>
      </c>
      <c r="C335" s="20">
        <v>48.0</v>
      </c>
      <c r="D335" s="26">
        <v>334.0</v>
      </c>
      <c r="E335" s="34">
        <f t="shared" si="34"/>
        <v>6725.366667</v>
      </c>
      <c r="F335" s="34">
        <f t="shared" si="35"/>
        <v>0.5333333333</v>
      </c>
      <c r="G335" s="35">
        <f t="shared" si="36"/>
        <v>6782.505233</v>
      </c>
      <c r="H335" s="32"/>
      <c r="I335" s="34">
        <f t="shared" si="1"/>
        <v>48</v>
      </c>
      <c r="J335" s="32"/>
      <c r="K335" s="27"/>
      <c r="L335" s="9">
        <f t="shared" si="3"/>
        <v>43539.86612</v>
      </c>
      <c r="M335" s="27"/>
      <c r="N335" s="18"/>
      <c r="O335" s="18"/>
      <c r="P335" s="18"/>
      <c r="Q335" s="18"/>
      <c r="R335" s="18"/>
      <c r="S335" s="18"/>
      <c r="T335" s="18"/>
      <c r="U335" s="18"/>
      <c r="V335" s="18"/>
      <c r="W335" s="25"/>
      <c r="X335" s="25"/>
      <c r="Y335" s="25"/>
      <c r="Z335" s="25"/>
    </row>
    <row r="336">
      <c r="A336" s="28"/>
      <c r="B336" s="19">
        <v>41243.0</v>
      </c>
      <c r="C336" s="20">
        <v>48.0</v>
      </c>
      <c r="D336" s="26">
        <v>335.0</v>
      </c>
      <c r="E336" s="34">
        <f t="shared" si="34"/>
        <v>6725.366667</v>
      </c>
      <c r="F336" s="34">
        <f t="shared" si="35"/>
        <v>0.5</v>
      </c>
      <c r="G336" s="35">
        <f t="shared" si="36"/>
        <v>6786.586559</v>
      </c>
      <c r="H336" s="32"/>
      <c r="I336" s="34">
        <f t="shared" si="1"/>
        <v>48</v>
      </c>
      <c r="J336" s="32"/>
      <c r="K336" s="27"/>
      <c r="L336" s="9">
        <f t="shared" si="3"/>
        <v>43539.86612</v>
      </c>
      <c r="M336" s="27"/>
      <c r="N336" s="18"/>
      <c r="O336" s="18"/>
      <c r="P336" s="18"/>
      <c r="Q336" s="18"/>
      <c r="R336" s="18"/>
      <c r="S336" s="18"/>
      <c r="T336" s="18"/>
      <c r="U336" s="18"/>
      <c r="V336" s="18"/>
      <c r="W336" s="25"/>
      <c r="X336" s="25"/>
      <c r="Y336" s="25"/>
      <c r="Z336" s="25"/>
    </row>
    <row r="337">
      <c r="A337" s="13" t="s">
        <v>75</v>
      </c>
      <c r="B337" s="19">
        <v>41244.0</v>
      </c>
      <c r="C337" s="20">
        <v>48.0</v>
      </c>
      <c r="D337" s="26">
        <v>336.0</v>
      </c>
      <c r="E337" s="34">
        <f>A338/31</f>
        <v>6847.806452</v>
      </c>
      <c r="F337" s="34">
        <f t="shared" si="35"/>
        <v>0.4666666667</v>
      </c>
      <c r="G337" s="35">
        <f t="shared" si="36"/>
        <v>6790.667885</v>
      </c>
      <c r="H337" s="32"/>
      <c r="I337" s="34">
        <f t="shared" si="1"/>
        <v>48</v>
      </c>
      <c r="J337" s="32"/>
      <c r="K337" s="27"/>
      <c r="L337" s="9">
        <f t="shared" si="3"/>
        <v>43539.86612</v>
      </c>
      <c r="M337" s="27"/>
      <c r="N337" s="18"/>
      <c r="O337" s="18"/>
      <c r="P337" s="18"/>
      <c r="Q337" s="18"/>
      <c r="R337" s="18"/>
      <c r="S337" s="18"/>
      <c r="T337" s="18"/>
      <c r="U337" s="18"/>
      <c r="V337" s="18"/>
      <c r="W337" s="25"/>
      <c r="X337" s="25"/>
      <c r="Y337" s="25"/>
      <c r="Z337" s="25"/>
    </row>
    <row r="338">
      <c r="A338" s="20">
        <v>212282.0</v>
      </c>
      <c r="B338" s="19">
        <v>41245.0</v>
      </c>
      <c r="C338" s="20">
        <v>49.0</v>
      </c>
      <c r="D338" s="26">
        <v>337.0</v>
      </c>
      <c r="E338" s="34">
        <f t="shared" ref="E338:E367" si="37">E337</f>
        <v>6847.806452</v>
      </c>
      <c r="F338" s="34">
        <f t="shared" si="35"/>
        <v>0.4333333333</v>
      </c>
      <c r="G338" s="35">
        <f t="shared" si="36"/>
        <v>6794.749211</v>
      </c>
      <c r="H338" s="32"/>
      <c r="I338" s="34">
        <f t="shared" si="1"/>
        <v>49</v>
      </c>
      <c r="J338" s="35">
        <f>SUM(G338:G344)</f>
        <v>47648.95233</v>
      </c>
      <c r="K338" s="24">
        <v>47648.95233</v>
      </c>
      <c r="L338" s="9">
        <f t="shared" si="3"/>
        <v>43539.86612</v>
      </c>
      <c r="M338" s="24">
        <v>43539.86612</v>
      </c>
      <c r="N338" s="25">
        <v>12608.44426</v>
      </c>
      <c r="O338" s="25">
        <v>11556.52501</v>
      </c>
      <c r="P338" s="25">
        <v>2814.463203</v>
      </c>
      <c r="Q338" s="25">
        <v>21699.55103</v>
      </c>
      <c r="R338" s="18"/>
      <c r="S338" s="25">
        <v>11697.12437</v>
      </c>
      <c r="T338" s="25">
        <v>9982.691819</v>
      </c>
      <c r="U338" s="25">
        <v>2564.727169</v>
      </c>
      <c r="V338" s="25">
        <v>18516.21389</v>
      </c>
      <c r="W338" s="25">
        <v>911.3198925</v>
      </c>
      <c r="X338" s="25">
        <v>1573.833188</v>
      </c>
      <c r="Y338" s="25">
        <v>249.7360341</v>
      </c>
      <c r="Z338" s="25">
        <v>3183.337131</v>
      </c>
    </row>
    <row r="339">
      <c r="A339" s="28"/>
      <c r="B339" s="19">
        <v>41246.0</v>
      </c>
      <c r="C339" s="20">
        <v>49.0</v>
      </c>
      <c r="D339" s="26">
        <v>338.0</v>
      </c>
      <c r="E339" s="34">
        <f t="shared" si="37"/>
        <v>6847.806452</v>
      </c>
      <c r="F339" s="34">
        <f t="shared" si="35"/>
        <v>0.4</v>
      </c>
      <c r="G339" s="35">
        <f t="shared" si="36"/>
        <v>6798.830538</v>
      </c>
      <c r="H339" s="32"/>
      <c r="I339" s="34">
        <f t="shared" si="1"/>
        <v>49</v>
      </c>
      <c r="J339" s="32"/>
      <c r="K339" s="27"/>
      <c r="L339" s="9">
        <f t="shared" si="3"/>
        <v>43539.86612</v>
      </c>
      <c r="M339" s="27"/>
      <c r="N339" s="18"/>
      <c r="O339" s="18"/>
      <c r="P339" s="18"/>
      <c r="Q339" s="18"/>
      <c r="R339" s="18"/>
      <c r="S339" s="18"/>
      <c r="T339" s="18"/>
      <c r="U339" s="18"/>
      <c r="V339" s="18"/>
      <c r="W339" s="25"/>
      <c r="X339" s="25"/>
      <c r="Y339" s="25"/>
      <c r="Z339" s="25"/>
    </row>
    <row r="340">
      <c r="A340" s="28"/>
      <c r="B340" s="19">
        <v>41247.0</v>
      </c>
      <c r="C340" s="20">
        <v>49.0</v>
      </c>
      <c r="D340" s="26">
        <v>339.0</v>
      </c>
      <c r="E340" s="34">
        <f t="shared" si="37"/>
        <v>6847.806452</v>
      </c>
      <c r="F340" s="34">
        <f t="shared" si="35"/>
        <v>0.3666666667</v>
      </c>
      <c r="G340" s="35">
        <f t="shared" si="36"/>
        <v>6802.911864</v>
      </c>
      <c r="H340" s="32"/>
      <c r="I340" s="34">
        <f t="shared" si="1"/>
        <v>49</v>
      </c>
      <c r="J340" s="32"/>
      <c r="K340" s="27"/>
      <c r="L340" s="9">
        <f t="shared" si="3"/>
        <v>43539.86612</v>
      </c>
      <c r="M340" s="27"/>
      <c r="N340" s="18"/>
      <c r="O340" s="18"/>
      <c r="P340" s="18"/>
      <c r="Q340" s="18"/>
      <c r="R340" s="18"/>
      <c r="S340" s="18"/>
      <c r="T340" s="18"/>
      <c r="U340" s="18"/>
      <c r="V340" s="18"/>
      <c r="W340" s="25"/>
      <c r="X340" s="25"/>
      <c r="Y340" s="25"/>
      <c r="Z340" s="25"/>
    </row>
    <row r="341">
      <c r="A341" s="28"/>
      <c r="B341" s="19">
        <v>41248.0</v>
      </c>
      <c r="C341" s="20">
        <v>49.0</v>
      </c>
      <c r="D341" s="26">
        <v>340.0</v>
      </c>
      <c r="E341" s="34">
        <f t="shared" si="37"/>
        <v>6847.806452</v>
      </c>
      <c r="F341" s="34">
        <f t="shared" si="35"/>
        <v>0.3333333333</v>
      </c>
      <c r="G341" s="35">
        <f t="shared" si="36"/>
        <v>6806.99319</v>
      </c>
      <c r="H341" s="32"/>
      <c r="I341" s="34">
        <f t="shared" si="1"/>
        <v>49</v>
      </c>
      <c r="J341" s="32"/>
      <c r="K341" s="27"/>
      <c r="L341" s="9">
        <f t="shared" si="3"/>
        <v>43539.86612</v>
      </c>
      <c r="M341" s="27"/>
      <c r="N341" s="18"/>
      <c r="O341" s="18"/>
      <c r="P341" s="18"/>
      <c r="Q341" s="18"/>
      <c r="R341" s="18"/>
      <c r="S341" s="18"/>
      <c r="T341" s="18"/>
      <c r="U341" s="18"/>
      <c r="V341" s="18"/>
      <c r="W341" s="25"/>
      <c r="X341" s="25"/>
      <c r="Y341" s="25"/>
      <c r="Z341" s="25"/>
    </row>
    <row r="342">
      <c r="A342" s="28"/>
      <c r="B342" s="19">
        <v>41249.0</v>
      </c>
      <c r="C342" s="20">
        <v>49.0</v>
      </c>
      <c r="D342" s="26">
        <v>341.0</v>
      </c>
      <c r="E342" s="34">
        <f t="shared" si="37"/>
        <v>6847.806452</v>
      </c>
      <c r="F342" s="34">
        <f t="shared" si="35"/>
        <v>0.3</v>
      </c>
      <c r="G342" s="35">
        <f t="shared" si="36"/>
        <v>6811.074516</v>
      </c>
      <c r="H342" s="32"/>
      <c r="I342" s="34">
        <f t="shared" si="1"/>
        <v>49</v>
      </c>
      <c r="J342" s="32"/>
      <c r="K342" s="27"/>
      <c r="L342" s="9">
        <f t="shared" si="3"/>
        <v>43539.86612</v>
      </c>
      <c r="M342" s="27"/>
      <c r="N342" s="18"/>
      <c r="O342" s="18"/>
      <c r="P342" s="18"/>
      <c r="Q342" s="18"/>
      <c r="R342" s="18"/>
      <c r="S342" s="18"/>
      <c r="T342" s="18"/>
      <c r="U342" s="18"/>
      <c r="V342" s="18"/>
      <c r="W342" s="25"/>
      <c r="X342" s="25"/>
      <c r="Y342" s="25"/>
      <c r="Z342" s="25"/>
    </row>
    <row r="343">
      <c r="A343" s="28"/>
      <c r="B343" s="19">
        <v>41250.0</v>
      </c>
      <c r="C343" s="20">
        <v>49.0</v>
      </c>
      <c r="D343" s="26">
        <v>342.0</v>
      </c>
      <c r="E343" s="34">
        <f t="shared" si="37"/>
        <v>6847.806452</v>
      </c>
      <c r="F343" s="34">
        <f t="shared" si="35"/>
        <v>0.2666666667</v>
      </c>
      <c r="G343" s="35">
        <f t="shared" si="36"/>
        <v>6815.155842</v>
      </c>
      <c r="H343" s="32"/>
      <c r="I343" s="34">
        <f t="shared" si="1"/>
        <v>49</v>
      </c>
      <c r="J343" s="32"/>
      <c r="K343" s="27"/>
      <c r="L343" s="9">
        <f t="shared" si="3"/>
        <v>43539.86612</v>
      </c>
      <c r="M343" s="27"/>
      <c r="N343" s="18"/>
      <c r="O343" s="18"/>
      <c r="P343" s="18"/>
      <c r="Q343" s="18"/>
      <c r="R343" s="18"/>
      <c r="S343" s="18"/>
      <c r="T343" s="18"/>
      <c r="U343" s="18"/>
      <c r="V343" s="18"/>
      <c r="W343" s="25"/>
      <c r="X343" s="25"/>
      <c r="Y343" s="25"/>
      <c r="Z343" s="25"/>
    </row>
    <row r="344">
      <c r="A344" s="28"/>
      <c r="B344" s="19">
        <v>41251.0</v>
      </c>
      <c r="C344" s="20">
        <v>49.0</v>
      </c>
      <c r="D344" s="26">
        <v>343.0</v>
      </c>
      <c r="E344" s="34">
        <f t="shared" si="37"/>
        <v>6847.806452</v>
      </c>
      <c r="F344" s="34">
        <f t="shared" si="35"/>
        <v>0.2333333333</v>
      </c>
      <c r="G344" s="35">
        <f t="shared" si="36"/>
        <v>6819.237168</v>
      </c>
      <c r="H344" s="32"/>
      <c r="I344" s="34">
        <f t="shared" si="1"/>
        <v>49</v>
      </c>
      <c r="J344" s="32"/>
      <c r="K344" s="27"/>
      <c r="L344" s="9">
        <f t="shared" si="3"/>
        <v>43539.86612</v>
      </c>
      <c r="M344" s="27"/>
      <c r="N344" s="18"/>
      <c r="O344" s="18"/>
      <c r="P344" s="18"/>
      <c r="Q344" s="18"/>
      <c r="R344" s="18"/>
      <c r="S344" s="18"/>
      <c r="T344" s="18"/>
      <c r="U344" s="18"/>
      <c r="V344" s="18"/>
      <c r="W344" s="25"/>
      <c r="X344" s="25"/>
      <c r="Y344" s="25"/>
      <c r="Z344" s="25"/>
    </row>
    <row r="345">
      <c r="A345" s="28"/>
      <c r="B345" s="19">
        <v>41252.0</v>
      </c>
      <c r="C345" s="20">
        <v>50.0</v>
      </c>
      <c r="D345" s="26">
        <v>344.0</v>
      </c>
      <c r="E345" s="34">
        <f t="shared" si="37"/>
        <v>6847.806452</v>
      </c>
      <c r="F345" s="34">
        <f t="shared" si="35"/>
        <v>0.2</v>
      </c>
      <c r="G345" s="35">
        <f t="shared" si="36"/>
        <v>6823.318495</v>
      </c>
      <c r="H345" s="32"/>
      <c r="I345" s="34">
        <f t="shared" si="1"/>
        <v>50</v>
      </c>
      <c r="J345" s="35">
        <f>SUM(G345:G351)</f>
        <v>47848.93731</v>
      </c>
      <c r="K345" s="24">
        <v>47848.93731</v>
      </c>
      <c r="L345" s="9">
        <f t="shared" si="3"/>
        <v>43539.86612</v>
      </c>
      <c r="M345" s="24">
        <v>43539.86612</v>
      </c>
      <c r="N345" s="25">
        <v>12955.73165</v>
      </c>
      <c r="O345" s="25">
        <v>11298.85729</v>
      </c>
      <c r="P345" s="25">
        <v>3000.55223</v>
      </c>
      <c r="Q345" s="25">
        <v>20516.9995</v>
      </c>
      <c r="R345" s="18"/>
      <c r="S345" s="25">
        <v>11029.80544</v>
      </c>
      <c r="T345" s="25">
        <v>10250.2708</v>
      </c>
      <c r="U345" s="25">
        <v>2692.303893</v>
      </c>
      <c r="V345" s="25">
        <v>18820.06592</v>
      </c>
      <c r="W345" s="25">
        <v>1925.926214</v>
      </c>
      <c r="X345" s="25">
        <v>1048.586483</v>
      </c>
      <c r="Y345" s="25">
        <v>308.2483364</v>
      </c>
      <c r="Z345" s="25">
        <v>1696.933582</v>
      </c>
    </row>
    <row r="346">
      <c r="A346" s="28"/>
      <c r="B346" s="19">
        <v>41253.0</v>
      </c>
      <c r="C346" s="20">
        <v>50.0</v>
      </c>
      <c r="D346" s="26">
        <v>345.0</v>
      </c>
      <c r="E346" s="34">
        <f t="shared" si="37"/>
        <v>6847.806452</v>
      </c>
      <c r="F346" s="34">
        <f t="shared" si="35"/>
        <v>0.1666666667</v>
      </c>
      <c r="G346" s="35">
        <f t="shared" si="36"/>
        <v>6827.399821</v>
      </c>
      <c r="H346" s="32"/>
      <c r="I346" s="34">
        <f t="shared" si="1"/>
        <v>50</v>
      </c>
      <c r="J346" s="32"/>
      <c r="K346" s="27"/>
      <c r="L346" s="9">
        <f t="shared" si="3"/>
        <v>43539.86612</v>
      </c>
      <c r="M346" s="27"/>
      <c r="N346" s="18"/>
      <c r="O346" s="18"/>
      <c r="P346" s="18"/>
      <c r="Q346" s="18"/>
      <c r="R346" s="18"/>
      <c r="S346" s="18"/>
      <c r="T346" s="18"/>
      <c r="U346" s="18"/>
      <c r="V346" s="18"/>
      <c r="W346" s="25"/>
      <c r="X346" s="25"/>
      <c r="Y346" s="25"/>
      <c r="Z346" s="25"/>
    </row>
    <row r="347">
      <c r="A347" s="28"/>
      <c r="B347" s="19">
        <v>41254.0</v>
      </c>
      <c r="C347" s="20">
        <v>50.0</v>
      </c>
      <c r="D347" s="26">
        <v>346.0</v>
      </c>
      <c r="E347" s="34">
        <f t="shared" si="37"/>
        <v>6847.806452</v>
      </c>
      <c r="F347" s="34">
        <f t="shared" si="35"/>
        <v>0.1333333333</v>
      </c>
      <c r="G347" s="35">
        <f t="shared" si="36"/>
        <v>6831.481147</v>
      </c>
      <c r="H347" s="32"/>
      <c r="I347" s="34">
        <f t="shared" si="1"/>
        <v>50</v>
      </c>
      <c r="J347" s="32"/>
      <c r="K347" s="27"/>
      <c r="L347" s="9">
        <f t="shared" si="3"/>
        <v>43539.86612</v>
      </c>
      <c r="M347" s="27"/>
      <c r="N347" s="18"/>
      <c r="O347" s="18"/>
      <c r="P347" s="18"/>
      <c r="Q347" s="18"/>
      <c r="R347" s="18"/>
      <c r="S347" s="18"/>
      <c r="T347" s="18"/>
      <c r="U347" s="18"/>
      <c r="V347" s="18"/>
      <c r="W347" s="25"/>
      <c r="X347" s="25"/>
      <c r="Y347" s="25"/>
      <c r="Z347" s="25"/>
    </row>
    <row r="348">
      <c r="A348" s="28"/>
      <c r="B348" s="19">
        <v>41255.0</v>
      </c>
      <c r="C348" s="20">
        <v>50.0</v>
      </c>
      <c r="D348" s="26">
        <v>347.0</v>
      </c>
      <c r="E348" s="34">
        <f t="shared" si="37"/>
        <v>6847.806452</v>
      </c>
      <c r="F348" s="34">
        <f t="shared" si="35"/>
        <v>0.1</v>
      </c>
      <c r="G348" s="35">
        <f t="shared" si="36"/>
        <v>6835.562473</v>
      </c>
      <c r="H348" s="32"/>
      <c r="I348" s="34">
        <f t="shared" si="1"/>
        <v>50</v>
      </c>
      <c r="J348" s="32"/>
      <c r="K348" s="27"/>
      <c r="L348" s="9">
        <f t="shared" si="3"/>
        <v>43539.86612</v>
      </c>
      <c r="M348" s="27"/>
      <c r="N348" s="18"/>
      <c r="O348" s="18"/>
      <c r="P348" s="18"/>
      <c r="Q348" s="18"/>
      <c r="R348" s="18"/>
      <c r="S348" s="18"/>
      <c r="T348" s="18"/>
      <c r="U348" s="18"/>
      <c r="V348" s="18"/>
      <c r="W348" s="25"/>
      <c r="X348" s="25"/>
      <c r="Y348" s="25"/>
      <c r="Z348" s="25"/>
    </row>
    <row r="349">
      <c r="A349" s="28"/>
      <c r="B349" s="19">
        <v>41256.0</v>
      </c>
      <c r="C349" s="20">
        <v>50.0</v>
      </c>
      <c r="D349" s="26">
        <v>348.0</v>
      </c>
      <c r="E349" s="34">
        <f t="shared" si="37"/>
        <v>6847.806452</v>
      </c>
      <c r="F349" s="34">
        <f t="shared" si="35"/>
        <v>0.06666666667</v>
      </c>
      <c r="G349" s="35">
        <f t="shared" si="36"/>
        <v>6839.643799</v>
      </c>
      <c r="H349" s="32"/>
      <c r="I349" s="34">
        <f t="shared" si="1"/>
        <v>50</v>
      </c>
      <c r="J349" s="32"/>
      <c r="K349" s="27"/>
      <c r="L349" s="9">
        <f t="shared" si="3"/>
        <v>43539.86612</v>
      </c>
      <c r="M349" s="27"/>
      <c r="N349" s="18"/>
      <c r="O349" s="18"/>
      <c r="P349" s="18"/>
      <c r="Q349" s="18"/>
      <c r="R349" s="18"/>
      <c r="S349" s="18"/>
      <c r="T349" s="18"/>
      <c r="U349" s="18"/>
      <c r="V349" s="18"/>
      <c r="W349" s="25"/>
      <c r="X349" s="25"/>
      <c r="Y349" s="25"/>
      <c r="Z349" s="25"/>
    </row>
    <row r="350">
      <c r="A350" s="28"/>
      <c r="B350" s="19">
        <v>41257.0</v>
      </c>
      <c r="C350" s="20">
        <v>50.0</v>
      </c>
      <c r="D350" s="26">
        <v>349.0</v>
      </c>
      <c r="E350" s="34">
        <f t="shared" si="37"/>
        <v>6847.806452</v>
      </c>
      <c r="F350" s="34">
        <f t="shared" si="35"/>
        <v>0.03333333333</v>
      </c>
      <c r="G350" s="35">
        <f t="shared" si="36"/>
        <v>6843.725125</v>
      </c>
      <c r="H350" s="32"/>
      <c r="I350" s="34">
        <f t="shared" si="1"/>
        <v>50</v>
      </c>
      <c r="J350" s="32"/>
      <c r="K350" s="27"/>
      <c r="L350" s="9">
        <f t="shared" si="3"/>
        <v>43539.86612</v>
      </c>
      <c r="M350" s="27"/>
      <c r="N350" s="18"/>
      <c r="O350" s="18"/>
      <c r="P350" s="18"/>
      <c r="Q350" s="18"/>
      <c r="R350" s="18"/>
      <c r="S350" s="18"/>
      <c r="T350" s="18"/>
      <c r="U350" s="18"/>
      <c r="V350" s="18"/>
      <c r="W350" s="25"/>
      <c r="X350" s="25"/>
      <c r="Y350" s="25"/>
      <c r="Z350" s="25"/>
    </row>
    <row r="351">
      <c r="A351" s="13"/>
      <c r="B351" s="19">
        <v>41258.0</v>
      </c>
      <c r="C351" s="20">
        <v>50.0</v>
      </c>
      <c r="D351" s="26">
        <v>350.0</v>
      </c>
      <c r="E351" s="34">
        <f t="shared" si="37"/>
        <v>6847.806452</v>
      </c>
      <c r="F351" s="34">
        <v>1.0</v>
      </c>
      <c r="G351" s="35">
        <f>E351</f>
        <v>6847.806452</v>
      </c>
      <c r="H351" s="32"/>
      <c r="I351" s="34">
        <f t="shared" si="1"/>
        <v>50</v>
      </c>
      <c r="J351" s="32"/>
      <c r="K351" s="27"/>
      <c r="L351" s="9">
        <f t="shared" si="3"/>
        <v>43539.86612</v>
      </c>
      <c r="M351" s="27"/>
      <c r="N351" s="18"/>
      <c r="O351" s="18"/>
      <c r="P351" s="18"/>
      <c r="Q351" s="18"/>
      <c r="R351" s="18"/>
      <c r="S351" s="18"/>
      <c r="T351" s="18"/>
      <c r="U351" s="18"/>
      <c r="V351" s="18"/>
      <c r="W351" s="25"/>
      <c r="X351" s="25"/>
      <c r="Y351" s="25"/>
      <c r="Z351" s="25"/>
    </row>
    <row r="352">
      <c r="A352" s="13"/>
      <c r="B352" s="19">
        <v>41259.0</v>
      </c>
      <c r="C352" s="20">
        <v>51.0</v>
      </c>
      <c r="D352" s="26">
        <v>351.0</v>
      </c>
      <c r="E352" s="34">
        <f t="shared" si="37"/>
        <v>6847.806452</v>
      </c>
      <c r="F352" s="34">
        <f t="shared" ref="F352:F367" si="38">abs((D352-381)/(381-350))</f>
        <v>0.9677419355</v>
      </c>
      <c r="G352" s="35">
        <f t="shared" ref="G352:G367" si="39">E337*F352+(1-F352)*E2</f>
        <v>6839.491155</v>
      </c>
      <c r="H352" s="32"/>
      <c r="I352" s="34">
        <f t="shared" si="1"/>
        <v>51</v>
      </c>
      <c r="J352" s="35">
        <f>SUM(G352:G358)</f>
        <v>47701.81686</v>
      </c>
      <c r="K352" s="24">
        <v>47701.81686</v>
      </c>
      <c r="L352" s="9">
        <f t="shared" si="3"/>
        <v>43539.86612</v>
      </c>
      <c r="M352" s="24">
        <v>43539.86612</v>
      </c>
      <c r="N352" s="25">
        <v>13054.43146</v>
      </c>
      <c r="O352" s="25">
        <v>11177.0957</v>
      </c>
      <c r="P352" s="25">
        <v>2834.427103</v>
      </c>
      <c r="Q352" s="25">
        <v>21575.17357</v>
      </c>
      <c r="R352" s="18"/>
      <c r="S352" s="25">
        <v>11459.01156</v>
      </c>
      <c r="T352" s="25">
        <v>10331.15263</v>
      </c>
      <c r="U352" s="25">
        <v>2759.924939</v>
      </c>
      <c r="V352" s="25">
        <v>18990.91351</v>
      </c>
      <c r="W352" s="25">
        <v>1595.419896</v>
      </c>
      <c r="X352" s="25">
        <v>845.9430734</v>
      </c>
      <c r="Y352" s="25">
        <v>74.50216411</v>
      </c>
      <c r="Z352" s="25">
        <v>2584.260055</v>
      </c>
    </row>
    <row r="353">
      <c r="A353" s="28"/>
      <c r="B353" s="19">
        <v>41260.0</v>
      </c>
      <c r="C353" s="20">
        <v>51.0</v>
      </c>
      <c r="D353" s="26">
        <v>352.0</v>
      </c>
      <c r="E353" s="34">
        <f t="shared" si="37"/>
        <v>6847.806452</v>
      </c>
      <c r="F353" s="34">
        <f t="shared" si="38"/>
        <v>0.935483871</v>
      </c>
      <c r="G353" s="35">
        <f t="shared" si="39"/>
        <v>6831.175858</v>
      </c>
      <c r="H353" s="32"/>
      <c r="I353" s="34">
        <f t="shared" si="1"/>
        <v>51</v>
      </c>
      <c r="J353" s="32"/>
      <c r="K353" s="27"/>
      <c r="L353" s="9">
        <f t="shared" si="3"/>
        <v>43539.86612</v>
      </c>
      <c r="M353" s="27"/>
      <c r="N353" s="18"/>
      <c r="O353" s="18"/>
      <c r="P353" s="18"/>
      <c r="Q353" s="18"/>
      <c r="R353" s="18"/>
      <c r="S353" s="18"/>
      <c r="T353" s="18"/>
      <c r="U353" s="18"/>
      <c r="V353" s="18"/>
      <c r="W353" s="25"/>
      <c r="X353" s="25"/>
      <c r="Y353" s="25"/>
      <c r="Z353" s="25"/>
    </row>
    <row r="354">
      <c r="A354" s="28"/>
      <c r="B354" s="19">
        <v>41261.0</v>
      </c>
      <c r="C354" s="20">
        <v>51.0</v>
      </c>
      <c r="D354" s="26">
        <v>353.0</v>
      </c>
      <c r="E354" s="34">
        <f t="shared" si="37"/>
        <v>6847.806452</v>
      </c>
      <c r="F354" s="34">
        <f t="shared" si="38"/>
        <v>0.9032258065</v>
      </c>
      <c r="G354" s="35">
        <f t="shared" si="39"/>
        <v>6822.860562</v>
      </c>
      <c r="H354" s="32"/>
      <c r="I354" s="34">
        <f t="shared" si="1"/>
        <v>51</v>
      </c>
      <c r="J354" s="32"/>
      <c r="K354" s="27"/>
      <c r="L354" s="9">
        <f t="shared" si="3"/>
        <v>43539.86612</v>
      </c>
      <c r="M354" s="27"/>
      <c r="N354" s="18"/>
      <c r="O354" s="18"/>
      <c r="P354" s="18"/>
      <c r="Q354" s="18"/>
      <c r="R354" s="18"/>
      <c r="S354" s="18"/>
      <c r="T354" s="18"/>
      <c r="U354" s="18"/>
      <c r="V354" s="18"/>
      <c r="W354" s="25"/>
      <c r="X354" s="25"/>
      <c r="Y354" s="25"/>
      <c r="Z354" s="25"/>
    </row>
    <row r="355">
      <c r="A355" s="28"/>
      <c r="B355" s="19">
        <v>41262.0</v>
      </c>
      <c r="C355" s="20">
        <v>51.0</v>
      </c>
      <c r="D355" s="26">
        <v>354.0</v>
      </c>
      <c r="E355" s="34">
        <f t="shared" si="37"/>
        <v>6847.806452</v>
      </c>
      <c r="F355" s="34">
        <f t="shared" si="38"/>
        <v>0.8709677419</v>
      </c>
      <c r="G355" s="35">
        <f t="shared" si="39"/>
        <v>6814.545265</v>
      </c>
      <c r="H355" s="32"/>
      <c r="I355" s="34">
        <f t="shared" si="1"/>
        <v>51</v>
      </c>
      <c r="J355" s="32"/>
      <c r="K355" s="27"/>
      <c r="L355" s="9">
        <f t="shared" si="3"/>
        <v>43539.86612</v>
      </c>
      <c r="M355" s="27"/>
      <c r="N355" s="18"/>
      <c r="O355" s="18"/>
      <c r="P355" s="18"/>
      <c r="Q355" s="18"/>
      <c r="R355" s="18"/>
      <c r="S355" s="18"/>
      <c r="T355" s="18"/>
      <c r="U355" s="18"/>
      <c r="V355" s="18"/>
      <c r="W355" s="25"/>
      <c r="X355" s="25"/>
      <c r="Y355" s="25"/>
      <c r="Z355" s="25"/>
    </row>
    <row r="356">
      <c r="A356" s="28"/>
      <c r="B356" s="19">
        <v>41263.0</v>
      </c>
      <c r="C356" s="20">
        <v>51.0</v>
      </c>
      <c r="D356" s="26">
        <v>355.0</v>
      </c>
      <c r="E356" s="34">
        <f t="shared" si="37"/>
        <v>6847.806452</v>
      </c>
      <c r="F356" s="34">
        <f t="shared" si="38"/>
        <v>0.8387096774</v>
      </c>
      <c r="G356" s="35">
        <f t="shared" si="39"/>
        <v>6806.229969</v>
      </c>
      <c r="H356" s="32"/>
      <c r="I356" s="34">
        <f t="shared" si="1"/>
        <v>51</v>
      </c>
      <c r="J356" s="32"/>
      <c r="K356" s="27"/>
      <c r="L356" s="9">
        <f t="shared" si="3"/>
        <v>43539.86612</v>
      </c>
      <c r="M356" s="27"/>
      <c r="N356" s="18"/>
      <c r="O356" s="18"/>
      <c r="P356" s="18"/>
      <c r="Q356" s="18"/>
      <c r="R356" s="18"/>
      <c r="S356" s="18"/>
      <c r="T356" s="18"/>
      <c r="U356" s="18"/>
      <c r="V356" s="18"/>
      <c r="W356" s="25"/>
      <c r="X356" s="25"/>
      <c r="Y356" s="25"/>
      <c r="Z356" s="25"/>
    </row>
    <row r="357">
      <c r="A357" s="28"/>
      <c r="B357" s="19">
        <v>41264.0</v>
      </c>
      <c r="C357" s="20">
        <v>51.0</v>
      </c>
      <c r="D357" s="26">
        <v>356.0</v>
      </c>
      <c r="E357" s="34">
        <f t="shared" si="37"/>
        <v>6847.806452</v>
      </c>
      <c r="F357" s="34">
        <f t="shared" si="38"/>
        <v>0.8064516129</v>
      </c>
      <c r="G357" s="35">
        <f t="shared" si="39"/>
        <v>6797.914672</v>
      </c>
      <c r="H357" s="32"/>
      <c r="I357" s="34">
        <f t="shared" si="1"/>
        <v>51</v>
      </c>
      <c r="J357" s="32"/>
      <c r="K357" s="27"/>
      <c r="L357" s="9">
        <f t="shared" si="3"/>
        <v>43539.86612</v>
      </c>
      <c r="M357" s="27"/>
      <c r="N357" s="18"/>
      <c r="O357" s="18"/>
      <c r="P357" s="18"/>
      <c r="Q357" s="18"/>
      <c r="R357" s="18"/>
      <c r="S357" s="18"/>
      <c r="T357" s="18"/>
      <c r="U357" s="18"/>
      <c r="V357" s="18"/>
      <c r="W357" s="25"/>
      <c r="X357" s="25"/>
      <c r="Y357" s="25"/>
      <c r="Z357" s="25"/>
    </row>
    <row r="358">
      <c r="A358" s="28"/>
      <c r="B358" s="19">
        <v>41265.0</v>
      </c>
      <c r="C358" s="20">
        <v>51.0</v>
      </c>
      <c r="D358" s="26">
        <v>357.0</v>
      </c>
      <c r="E358" s="34">
        <f t="shared" si="37"/>
        <v>6847.806452</v>
      </c>
      <c r="F358" s="34">
        <f t="shared" si="38"/>
        <v>0.7741935484</v>
      </c>
      <c r="G358" s="35">
        <f t="shared" si="39"/>
        <v>6789.599376</v>
      </c>
      <c r="H358" s="32"/>
      <c r="I358" s="34">
        <f t="shared" si="1"/>
        <v>51</v>
      </c>
      <c r="J358" s="32"/>
      <c r="K358" s="27"/>
      <c r="L358" s="9">
        <f t="shared" si="3"/>
        <v>43539.86612</v>
      </c>
      <c r="M358" s="27"/>
      <c r="N358" s="18"/>
      <c r="O358" s="18"/>
      <c r="P358" s="18"/>
      <c r="Q358" s="18"/>
      <c r="R358" s="18"/>
      <c r="S358" s="18"/>
      <c r="T358" s="18"/>
      <c r="U358" s="18"/>
      <c r="V358" s="18"/>
      <c r="W358" s="25"/>
      <c r="X358" s="25"/>
      <c r="Y358" s="25"/>
      <c r="Z358" s="25"/>
    </row>
    <row r="359">
      <c r="A359" s="28"/>
      <c r="B359" s="19">
        <v>41266.0</v>
      </c>
      <c r="C359" s="20">
        <v>52.0</v>
      </c>
      <c r="D359" s="26">
        <v>358.0</v>
      </c>
      <c r="E359" s="34">
        <f t="shared" si="37"/>
        <v>6847.806452</v>
      </c>
      <c r="F359" s="34">
        <f t="shared" si="38"/>
        <v>0.7419354839</v>
      </c>
      <c r="G359" s="35">
        <f t="shared" si="39"/>
        <v>6781.284079</v>
      </c>
      <c r="H359" s="32"/>
      <c r="I359" s="34">
        <f t="shared" si="1"/>
        <v>52</v>
      </c>
      <c r="J359" s="35">
        <f>SUM(G359:G365)</f>
        <v>47294.36733</v>
      </c>
      <c r="K359" s="24">
        <v>47294.36733</v>
      </c>
      <c r="L359" s="9">
        <f t="shared" si="3"/>
        <v>43539.86612</v>
      </c>
      <c r="M359" s="24">
        <v>43539.86612</v>
      </c>
      <c r="N359" s="25">
        <v>12979.52734</v>
      </c>
      <c r="O359" s="25">
        <v>11336.30144</v>
      </c>
      <c r="P359" s="25">
        <v>2901.083692</v>
      </c>
      <c r="Q359" s="25">
        <v>19979.84403</v>
      </c>
      <c r="R359" s="18"/>
      <c r="S359" s="25">
        <v>11200.15744</v>
      </c>
      <c r="T359" s="25">
        <v>9964.632265</v>
      </c>
      <c r="U359" s="25">
        <v>2599.78167</v>
      </c>
      <c r="V359" s="25">
        <v>18188.19644</v>
      </c>
      <c r="W359" s="25">
        <v>1779.369901</v>
      </c>
      <c r="X359" s="25">
        <v>1371.669177</v>
      </c>
      <c r="Y359" s="25">
        <v>301.3020222</v>
      </c>
      <c r="Z359" s="25">
        <v>1791.647584</v>
      </c>
    </row>
    <row r="360">
      <c r="A360" s="28"/>
      <c r="B360" s="19">
        <v>41267.0</v>
      </c>
      <c r="C360" s="20">
        <v>52.0</v>
      </c>
      <c r="D360" s="26">
        <v>359.0</v>
      </c>
      <c r="E360" s="34">
        <f t="shared" si="37"/>
        <v>6847.806452</v>
      </c>
      <c r="F360" s="34">
        <f t="shared" si="38"/>
        <v>0.7096774194</v>
      </c>
      <c r="G360" s="35">
        <f t="shared" si="39"/>
        <v>6772.968783</v>
      </c>
      <c r="H360" s="32"/>
      <c r="I360" s="34">
        <f t="shared" si="1"/>
        <v>52</v>
      </c>
      <c r="J360" s="32"/>
      <c r="K360" s="27"/>
      <c r="L360" s="9">
        <f t="shared" si="3"/>
        <v>43539.86612</v>
      </c>
      <c r="M360" s="27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>
      <c r="A361" s="28"/>
      <c r="B361" s="19">
        <v>41268.0</v>
      </c>
      <c r="C361" s="20">
        <v>52.0</v>
      </c>
      <c r="D361" s="26">
        <v>360.0</v>
      </c>
      <c r="E361" s="34">
        <f t="shared" si="37"/>
        <v>6847.806452</v>
      </c>
      <c r="F361" s="34">
        <f t="shared" si="38"/>
        <v>0.6774193548</v>
      </c>
      <c r="G361" s="35">
        <f t="shared" si="39"/>
        <v>6764.653486</v>
      </c>
      <c r="H361" s="32"/>
      <c r="I361" s="34">
        <f t="shared" si="1"/>
        <v>52</v>
      </c>
      <c r="J361" s="32"/>
      <c r="K361" s="27"/>
      <c r="L361" s="9">
        <f t="shared" si="3"/>
        <v>43539.86612</v>
      </c>
      <c r="M361" s="27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>
      <c r="A362" s="28"/>
      <c r="B362" s="19">
        <v>41269.0</v>
      </c>
      <c r="C362" s="20">
        <v>52.0</v>
      </c>
      <c r="D362" s="26">
        <v>361.0</v>
      </c>
      <c r="E362" s="34">
        <f t="shared" si="37"/>
        <v>6847.806452</v>
      </c>
      <c r="F362" s="34">
        <f t="shared" si="38"/>
        <v>0.6451612903</v>
      </c>
      <c r="G362" s="35">
        <f t="shared" si="39"/>
        <v>6756.338189</v>
      </c>
      <c r="H362" s="32"/>
      <c r="I362" s="34">
        <f t="shared" si="1"/>
        <v>52</v>
      </c>
      <c r="J362" s="32"/>
      <c r="K362" s="27"/>
      <c r="L362" s="9">
        <f t="shared" si="3"/>
        <v>43539.86612</v>
      </c>
      <c r="M362" s="27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>
      <c r="A363" s="28"/>
      <c r="B363" s="19">
        <v>41270.0</v>
      </c>
      <c r="C363" s="20">
        <v>52.0</v>
      </c>
      <c r="D363" s="26">
        <v>362.0</v>
      </c>
      <c r="E363" s="34">
        <f t="shared" si="37"/>
        <v>6847.806452</v>
      </c>
      <c r="F363" s="34">
        <f t="shared" si="38"/>
        <v>0.6129032258</v>
      </c>
      <c r="G363" s="35">
        <f t="shared" si="39"/>
        <v>6748.022893</v>
      </c>
      <c r="H363" s="32"/>
      <c r="I363" s="34">
        <f t="shared" si="1"/>
        <v>52</v>
      </c>
      <c r="J363" s="32"/>
      <c r="K363" s="27"/>
      <c r="L363" s="9">
        <f t="shared" si="3"/>
        <v>43539.86612</v>
      </c>
      <c r="M363" s="27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>
      <c r="A364" s="28"/>
      <c r="B364" s="19">
        <v>41271.0</v>
      </c>
      <c r="C364" s="20">
        <v>52.0</v>
      </c>
      <c r="D364" s="26">
        <v>363.0</v>
      </c>
      <c r="E364" s="34">
        <f t="shared" si="37"/>
        <v>6847.806452</v>
      </c>
      <c r="F364" s="34">
        <f t="shared" si="38"/>
        <v>0.5806451613</v>
      </c>
      <c r="G364" s="35">
        <f t="shared" si="39"/>
        <v>6739.707596</v>
      </c>
      <c r="H364" s="32"/>
      <c r="I364" s="34">
        <f t="shared" si="1"/>
        <v>52</v>
      </c>
      <c r="J364" s="32"/>
      <c r="K364" s="27"/>
      <c r="L364" s="9">
        <f t="shared" si="3"/>
        <v>43539.86612</v>
      </c>
      <c r="M364" s="27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>
      <c r="A365" s="28"/>
      <c r="B365" s="19">
        <v>41272.0</v>
      </c>
      <c r="C365" s="20">
        <v>52.0</v>
      </c>
      <c r="D365" s="26">
        <v>364.0</v>
      </c>
      <c r="E365" s="34">
        <f t="shared" si="37"/>
        <v>6847.806452</v>
      </c>
      <c r="F365" s="34">
        <f t="shared" si="38"/>
        <v>0.5483870968</v>
      </c>
      <c r="G365" s="35">
        <f t="shared" si="39"/>
        <v>6731.3923</v>
      </c>
      <c r="H365" s="32"/>
      <c r="I365" s="34">
        <f t="shared" si="1"/>
        <v>52</v>
      </c>
      <c r="J365" s="32"/>
      <c r="K365" s="27"/>
      <c r="L365" s="9">
        <f t="shared" si="3"/>
        <v>43539.86612</v>
      </c>
      <c r="M365" s="27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>
      <c r="A366" s="28"/>
      <c r="B366" s="19">
        <v>41273.0</v>
      </c>
      <c r="C366" s="20">
        <v>53.0</v>
      </c>
      <c r="D366" s="26">
        <v>365.0</v>
      </c>
      <c r="E366" s="34">
        <f t="shared" si="37"/>
        <v>6847.806452</v>
      </c>
      <c r="F366" s="34">
        <f t="shared" si="38"/>
        <v>0.5161290323</v>
      </c>
      <c r="G366" s="35">
        <f t="shared" si="39"/>
        <v>6723.077003</v>
      </c>
      <c r="H366" s="32"/>
      <c r="I366" s="32"/>
      <c r="J366" s="32"/>
      <c r="K366" s="27"/>
      <c r="L366" s="8"/>
      <c r="M366" s="27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>
      <c r="A367" s="28"/>
      <c r="B367" s="19">
        <v>41274.0</v>
      </c>
      <c r="C367" s="20">
        <v>53.0</v>
      </c>
      <c r="D367" s="26">
        <v>366.0</v>
      </c>
      <c r="E367" s="34">
        <f t="shared" si="37"/>
        <v>6847.806452</v>
      </c>
      <c r="F367" s="34">
        <f t="shared" si="38"/>
        <v>0.4838709677</v>
      </c>
      <c r="G367" s="35">
        <f t="shared" si="39"/>
        <v>6714.761707</v>
      </c>
      <c r="H367" s="32"/>
      <c r="I367" s="32"/>
      <c r="J367" s="32"/>
      <c r="K367" s="27"/>
      <c r="L367" s="8"/>
      <c r="M367" s="27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>
      <c r="A368" s="27"/>
      <c r="B368" s="27"/>
      <c r="C368" s="27"/>
      <c r="D368" s="36"/>
      <c r="E368" s="8"/>
      <c r="F368" s="8"/>
      <c r="G368" s="14"/>
      <c r="H368" s="8"/>
      <c r="I368" s="8"/>
      <c r="J368" s="8"/>
      <c r="K368" s="27"/>
      <c r="L368" s="8"/>
      <c r="M368" s="27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>
      <c r="A369" s="27"/>
      <c r="B369" s="27"/>
      <c r="C369" s="27"/>
      <c r="D369" s="36"/>
      <c r="E369" s="8"/>
      <c r="F369" s="8"/>
      <c r="G369" s="14"/>
      <c r="H369" s="8"/>
      <c r="I369" s="8"/>
      <c r="J369" s="8"/>
      <c r="K369" s="27"/>
      <c r="L369" s="8"/>
      <c r="M369" s="27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>
      <c r="A370" s="27"/>
      <c r="B370" s="27"/>
      <c r="C370" s="27"/>
      <c r="D370" s="36"/>
      <c r="E370" s="8"/>
      <c r="F370" s="8"/>
      <c r="G370" s="14"/>
      <c r="H370" s="8"/>
      <c r="I370" s="8"/>
      <c r="J370" s="8"/>
      <c r="K370" s="27"/>
      <c r="L370" s="8"/>
      <c r="M370" s="27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>
      <c r="A371" s="27"/>
      <c r="B371" s="27"/>
      <c r="C371" s="27"/>
      <c r="D371" s="36"/>
      <c r="E371" s="8"/>
      <c r="F371" s="8"/>
      <c r="G371" s="14"/>
      <c r="H371" s="8"/>
      <c r="I371" s="8"/>
      <c r="J371" s="8"/>
      <c r="K371" s="27"/>
      <c r="L371" s="8"/>
      <c r="M371" s="27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>
      <c r="A372" s="27"/>
      <c r="B372" s="27"/>
      <c r="C372" s="27"/>
      <c r="D372" s="36"/>
      <c r="E372" s="8"/>
      <c r="F372" s="8"/>
      <c r="G372" s="14"/>
      <c r="H372" s="8"/>
      <c r="I372" s="8"/>
      <c r="J372" s="8"/>
      <c r="K372" s="27"/>
      <c r="L372" s="8"/>
      <c r="M372" s="27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>
      <c r="A373" s="27"/>
      <c r="B373" s="27"/>
      <c r="C373" s="27"/>
      <c r="D373" s="36"/>
      <c r="E373" s="8"/>
      <c r="F373" s="8"/>
      <c r="G373" s="14"/>
      <c r="H373" s="8"/>
      <c r="I373" s="8"/>
      <c r="J373" s="8"/>
      <c r="K373" s="27"/>
      <c r="L373" s="8"/>
      <c r="M373" s="27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>
      <c r="A374" s="27"/>
      <c r="B374" s="27"/>
      <c r="C374" s="27"/>
      <c r="D374" s="36"/>
      <c r="E374" s="8"/>
      <c r="F374" s="8"/>
      <c r="G374" s="14"/>
      <c r="H374" s="8"/>
      <c r="I374" s="8"/>
      <c r="J374" s="8"/>
      <c r="K374" s="27"/>
      <c r="L374" s="8"/>
      <c r="M374" s="27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>
      <c r="A375" s="27"/>
      <c r="B375" s="27"/>
      <c r="C375" s="27"/>
      <c r="D375" s="36"/>
      <c r="E375" s="8"/>
      <c r="F375" s="8"/>
      <c r="G375" s="14"/>
      <c r="H375" s="8"/>
      <c r="I375" s="8"/>
      <c r="J375" s="8"/>
      <c r="K375" s="27"/>
      <c r="L375" s="8"/>
      <c r="M375" s="27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>
      <c r="A376" s="27"/>
      <c r="B376" s="27"/>
      <c r="C376" s="27"/>
      <c r="D376" s="36"/>
      <c r="E376" s="8"/>
      <c r="F376" s="8"/>
      <c r="G376" s="14"/>
      <c r="H376" s="8"/>
      <c r="I376" s="8"/>
      <c r="J376" s="8"/>
      <c r="K376" s="27"/>
      <c r="L376" s="8"/>
      <c r="M376" s="27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>
      <c r="A377" s="27"/>
      <c r="B377" s="27"/>
      <c r="C377" s="27"/>
      <c r="D377" s="36"/>
      <c r="E377" s="8"/>
      <c r="F377" s="8"/>
      <c r="G377" s="14"/>
      <c r="H377" s="8"/>
      <c r="I377" s="8"/>
      <c r="J377" s="8"/>
      <c r="K377" s="27"/>
      <c r="L377" s="8"/>
      <c r="M377" s="27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>
      <c r="A378" s="27"/>
      <c r="B378" s="27"/>
      <c r="C378" s="27"/>
      <c r="D378" s="36"/>
      <c r="E378" s="8"/>
      <c r="F378" s="8"/>
      <c r="G378" s="14"/>
      <c r="H378" s="8"/>
      <c r="I378" s="8"/>
      <c r="J378" s="8"/>
      <c r="K378" s="27"/>
      <c r="L378" s="8"/>
      <c r="M378" s="27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>
      <c r="A379" s="27"/>
      <c r="B379" s="27"/>
      <c r="C379" s="27"/>
      <c r="D379" s="36"/>
      <c r="E379" s="8"/>
      <c r="F379" s="8"/>
      <c r="G379" s="14"/>
      <c r="H379" s="8"/>
      <c r="I379" s="8"/>
      <c r="J379" s="8"/>
      <c r="K379" s="27"/>
      <c r="L379" s="8"/>
      <c r="M379" s="27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>
      <c r="A380" s="27"/>
      <c r="B380" s="27"/>
      <c r="C380" s="27"/>
      <c r="D380" s="36"/>
      <c r="E380" s="8"/>
      <c r="F380" s="8"/>
      <c r="G380" s="14"/>
      <c r="H380" s="8"/>
      <c r="I380" s="8"/>
      <c r="J380" s="8"/>
      <c r="K380" s="27"/>
      <c r="L380" s="8"/>
      <c r="M380" s="27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>
      <c r="A381" s="27"/>
      <c r="B381" s="27"/>
      <c r="C381" s="27"/>
      <c r="D381" s="36"/>
      <c r="E381" s="8"/>
      <c r="F381" s="8"/>
      <c r="G381" s="14"/>
      <c r="H381" s="8"/>
      <c r="I381" s="8"/>
      <c r="J381" s="8"/>
      <c r="K381" s="27"/>
      <c r="L381" s="8"/>
      <c r="M381" s="27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>
      <c r="A382" s="27"/>
      <c r="B382" s="27"/>
      <c r="C382" s="27"/>
      <c r="D382" s="36"/>
      <c r="E382" s="8"/>
      <c r="F382" s="8"/>
      <c r="G382" s="14"/>
      <c r="H382" s="8"/>
      <c r="I382" s="8"/>
      <c r="J382" s="8"/>
      <c r="K382" s="27"/>
      <c r="L382" s="8"/>
      <c r="M382" s="27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>
      <c r="A383" s="27"/>
      <c r="B383" s="27"/>
      <c r="C383" s="27"/>
      <c r="D383" s="36"/>
      <c r="E383" s="8"/>
      <c r="F383" s="8"/>
      <c r="G383" s="14"/>
      <c r="H383" s="8"/>
      <c r="I383" s="8"/>
      <c r="J383" s="8"/>
      <c r="K383" s="27"/>
      <c r="L383" s="8"/>
      <c r="M383" s="27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>
      <c r="A384" s="27"/>
      <c r="B384" s="27"/>
      <c r="C384" s="27"/>
      <c r="D384" s="36"/>
      <c r="E384" s="8"/>
      <c r="F384" s="8"/>
      <c r="G384" s="14"/>
      <c r="H384" s="8"/>
      <c r="I384" s="8"/>
      <c r="J384" s="8"/>
      <c r="K384" s="27"/>
      <c r="L384" s="8"/>
      <c r="M384" s="27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>
      <c r="A385" s="27"/>
      <c r="B385" s="27"/>
      <c r="C385" s="27"/>
      <c r="D385" s="36"/>
      <c r="E385" s="8"/>
      <c r="F385" s="8"/>
      <c r="G385" s="14"/>
      <c r="H385" s="8"/>
      <c r="I385" s="8"/>
      <c r="J385" s="8"/>
      <c r="K385" s="27"/>
      <c r="L385" s="8"/>
      <c r="M385" s="27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>
      <c r="A386" s="27"/>
      <c r="B386" s="27"/>
      <c r="C386" s="27"/>
      <c r="D386" s="27"/>
      <c r="E386" s="8"/>
      <c r="F386" s="8"/>
      <c r="G386" s="14"/>
      <c r="H386" s="8"/>
      <c r="I386" s="8"/>
      <c r="J386" s="8"/>
      <c r="K386" s="27"/>
      <c r="L386" s="8"/>
      <c r="M386" s="27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>
      <c r="A387" s="27"/>
      <c r="B387" s="27"/>
      <c r="C387" s="27"/>
      <c r="D387" s="27"/>
      <c r="E387" s="8"/>
      <c r="F387" s="8"/>
      <c r="G387" s="14"/>
      <c r="H387" s="8"/>
      <c r="I387" s="8"/>
      <c r="J387" s="8"/>
      <c r="K387" s="27"/>
      <c r="L387" s="8"/>
      <c r="M387" s="27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>
      <c r="A388" s="27"/>
      <c r="B388" s="27"/>
      <c r="C388" s="27"/>
      <c r="D388" s="27"/>
      <c r="E388" s="8"/>
      <c r="F388" s="8"/>
      <c r="G388" s="14"/>
      <c r="H388" s="8"/>
      <c r="I388" s="8"/>
      <c r="J388" s="8"/>
      <c r="K388" s="27"/>
      <c r="L388" s="8"/>
      <c r="M388" s="27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>
      <c r="A389" s="27"/>
      <c r="B389" s="27"/>
      <c r="C389" s="27"/>
      <c r="D389" s="27"/>
      <c r="E389" s="8"/>
      <c r="F389" s="8"/>
      <c r="G389" s="14"/>
      <c r="H389" s="8"/>
      <c r="I389" s="8"/>
      <c r="J389" s="8"/>
      <c r="K389" s="27"/>
      <c r="L389" s="8"/>
      <c r="M389" s="27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>
      <c r="A390" s="27"/>
      <c r="B390" s="27"/>
      <c r="C390" s="27"/>
      <c r="D390" s="27"/>
      <c r="E390" s="8"/>
      <c r="F390" s="8"/>
      <c r="G390" s="14"/>
      <c r="H390" s="8"/>
      <c r="I390" s="8"/>
      <c r="J390" s="8"/>
      <c r="K390" s="27"/>
      <c r="L390" s="8"/>
      <c r="M390" s="27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>
      <c r="A391" s="27"/>
      <c r="B391" s="27"/>
      <c r="C391" s="27"/>
      <c r="D391" s="27"/>
      <c r="E391" s="8"/>
      <c r="F391" s="8"/>
      <c r="G391" s="14"/>
      <c r="H391" s="8"/>
      <c r="I391" s="8"/>
      <c r="J391" s="8"/>
      <c r="K391" s="27"/>
      <c r="L391" s="8"/>
      <c r="M391" s="27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>
      <c r="A392" s="27"/>
      <c r="B392" s="27"/>
      <c r="C392" s="27"/>
      <c r="D392" s="27"/>
      <c r="E392" s="8"/>
      <c r="F392" s="8"/>
      <c r="G392" s="14"/>
      <c r="H392" s="8"/>
      <c r="I392" s="8"/>
      <c r="J392" s="8"/>
      <c r="K392" s="27"/>
      <c r="L392" s="8"/>
      <c r="M392" s="27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>
      <c r="A393" s="27"/>
      <c r="B393" s="27"/>
      <c r="C393" s="27"/>
      <c r="D393" s="27"/>
      <c r="E393" s="8"/>
      <c r="F393" s="8"/>
      <c r="G393" s="14"/>
      <c r="H393" s="8"/>
      <c r="I393" s="8"/>
      <c r="J393" s="8"/>
      <c r="K393" s="27"/>
      <c r="L393" s="8"/>
      <c r="M393" s="27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>
      <c r="A394" s="27"/>
      <c r="B394" s="27"/>
      <c r="C394" s="27"/>
      <c r="D394" s="27"/>
      <c r="E394" s="8"/>
      <c r="F394" s="8"/>
      <c r="G394" s="14"/>
      <c r="H394" s="8"/>
      <c r="I394" s="8"/>
      <c r="J394" s="8"/>
      <c r="K394" s="27"/>
      <c r="L394" s="8"/>
      <c r="M394" s="27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>
      <c r="A395" s="27"/>
      <c r="B395" s="27"/>
      <c r="C395" s="27"/>
      <c r="D395" s="27"/>
      <c r="E395" s="8"/>
      <c r="F395" s="8"/>
      <c r="G395" s="14"/>
      <c r="H395" s="8"/>
      <c r="I395" s="8"/>
      <c r="J395" s="8"/>
      <c r="K395" s="27"/>
      <c r="L395" s="8"/>
      <c r="M395" s="27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>
      <c r="A396" s="27"/>
      <c r="B396" s="27"/>
      <c r="C396" s="27"/>
      <c r="D396" s="27"/>
      <c r="E396" s="8"/>
      <c r="F396" s="8"/>
      <c r="G396" s="14"/>
      <c r="H396" s="8"/>
      <c r="I396" s="8"/>
      <c r="J396" s="8"/>
      <c r="K396" s="27"/>
      <c r="L396" s="8"/>
      <c r="M396" s="27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>
      <c r="A397" s="27"/>
      <c r="B397" s="27"/>
      <c r="C397" s="27"/>
      <c r="D397" s="27"/>
      <c r="E397" s="8"/>
      <c r="F397" s="8"/>
      <c r="G397" s="14"/>
      <c r="H397" s="8"/>
      <c r="I397" s="8"/>
      <c r="J397" s="8"/>
      <c r="K397" s="27"/>
      <c r="L397" s="8"/>
      <c r="M397" s="27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>
      <c r="A398" s="27"/>
      <c r="B398" s="27"/>
      <c r="C398" s="27"/>
      <c r="D398" s="27"/>
      <c r="E398" s="8"/>
      <c r="F398" s="8"/>
      <c r="G398" s="14"/>
      <c r="H398" s="8"/>
      <c r="I398" s="8"/>
      <c r="J398" s="8"/>
      <c r="K398" s="27"/>
      <c r="L398" s="8"/>
      <c r="M398" s="27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>
      <c r="A399" s="27"/>
      <c r="B399" s="27"/>
      <c r="C399" s="27"/>
      <c r="D399" s="27"/>
      <c r="E399" s="8"/>
      <c r="F399" s="8"/>
      <c r="G399" s="14"/>
      <c r="H399" s="8"/>
      <c r="I399" s="8"/>
      <c r="J399" s="8"/>
      <c r="K399" s="27"/>
      <c r="L399" s="8"/>
      <c r="M399" s="27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>
      <c r="A400" s="27"/>
      <c r="B400" s="27"/>
      <c r="C400" s="27"/>
      <c r="D400" s="27"/>
      <c r="E400" s="8"/>
      <c r="F400" s="8"/>
      <c r="G400" s="14"/>
      <c r="H400" s="8"/>
      <c r="I400" s="8"/>
      <c r="J400" s="8"/>
      <c r="K400" s="27"/>
      <c r="L400" s="8"/>
      <c r="M400" s="27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>
      <c r="A401" s="27"/>
      <c r="B401" s="27"/>
      <c r="C401" s="27"/>
      <c r="D401" s="27"/>
      <c r="E401" s="8"/>
      <c r="F401" s="8"/>
      <c r="G401" s="14"/>
      <c r="H401" s="8"/>
      <c r="I401" s="8"/>
      <c r="J401" s="8"/>
      <c r="K401" s="27"/>
      <c r="L401" s="8"/>
      <c r="M401" s="27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>
      <c r="A402" s="27"/>
      <c r="B402" s="27"/>
      <c r="C402" s="27"/>
      <c r="D402" s="27"/>
      <c r="E402" s="8"/>
      <c r="F402" s="8"/>
      <c r="G402" s="14"/>
      <c r="H402" s="8"/>
      <c r="I402" s="8"/>
      <c r="J402" s="8"/>
      <c r="K402" s="27"/>
      <c r="L402" s="8"/>
      <c r="M402" s="27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>
      <c r="A403" s="27"/>
      <c r="B403" s="27"/>
      <c r="C403" s="27"/>
      <c r="D403" s="27"/>
      <c r="E403" s="8"/>
      <c r="F403" s="8"/>
      <c r="G403" s="14"/>
      <c r="H403" s="8"/>
      <c r="I403" s="8"/>
      <c r="J403" s="8"/>
      <c r="K403" s="27"/>
      <c r="L403" s="8"/>
      <c r="M403" s="27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>
      <c r="A404" s="27"/>
      <c r="B404" s="27"/>
      <c r="C404" s="27"/>
      <c r="D404" s="27"/>
      <c r="E404" s="8"/>
      <c r="F404" s="8"/>
      <c r="G404" s="14"/>
      <c r="H404" s="8"/>
      <c r="I404" s="8"/>
      <c r="J404" s="8"/>
      <c r="K404" s="27"/>
      <c r="L404" s="8"/>
      <c r="M404" s="27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>
      <c r="A405" s="27"/>
      <c r="B405" s="27"/>
      <c r="C405" s="27"/>
      <c r="D405" s="27"/>
      <c r="E405" s="8"/>
      <c r="F405" s="8"/>
      <c r="G405" s="14"/>
      <c r="H405" s="8"/>
      <c r="I405" s="8"/>
      <c r="J405" s="8"/>
      <c r="K405" s="27"/>
      <c r="L405" s="8"/>
      <c r="M405" s="27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>
      <c r="A406" s="27"/>
      <c r="B406" s="27"/>
      <c r="C406" s="27"/>
      <c r="D406" s="27"/>
      <c r="E406" s="8"/>
      <c r="F406" s="8"/>
      <c r="G406" s="14"/>
      <c r="H406" s="8"/>
      <c r="I406" s="8"/>
      <c r="J406" s="8"/>
      <c r="K406" s="27"/>
      <c r="L406" s="8"/>
      <c r="M406" s="27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>
      <c r="A407" s="27"/>
      <c r="B407" s="27"/>
      <c r="C407" s="27"/>
      <c r="D407" s="27"/>
      <c r="E407" s="8"/>
      <c r="F407" s="8"/>
      <c r="G407" s="14"/>
      <c r="H407" s="8"/>
      <c r="I407" s="8"/>
      <c r="J407" s="8"/>
      <c r="K407" s="27"/>
      <c r="L407" s="8"/>
      <c r="M407" s="27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>
      <c r="A408" s="27"/>
      <c r="B408" s="27"/>
      <c r="C408" s="27"/>
      <c r="D408" s="27"/>
      <c r="E408" s="8"/>
      <c r="F408" s="8"/>
      <c r="G408" s="14"/>
      <c r="H408" s="8"/>
      <c r="I408" s="8"/>
      <c r="J408" s="8"/>
      <c r="K408" s="27"/>
      <c r="L408" s="8"/>
      <c r="M408" s="27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>
      <c r="A409" s="27"/>
      <c r="B409" s="27"/>
      <c r="C409" s="27"/>
      <c r="D409" s="27"/>
      <c r="E409" s="8"/>
      <c r="F409" s="8"/>
      <c r="G409" s="14"/>
      <c r="H409" s="8"/>
      <c r="I409" s="8"/>
      <c r="J409" s="8"/>
      <c r="K409" s="27"/>
      <c r="L409" s="8"/>
      <c r="M409" s="27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>
      <c r="A410" s="27"/>
      <c r="B410" s="27"/>
      <c r="C410" s="27"/>
      <c r="D410" s="27"/>
      <c r="E410" s="8"/>
      <c r="F410" s="8"/>
      <c r="G410" s="14"/>
      <c r="H410" s="8"/>
      <c r="I410" s="8"/>
      <c r="J410" s="8"/>
      <c r="K410" s="27"/>
      <c r="L410" s="8"/>
      <c r="M410" s="27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>
      <c r="A411" s="27"/>
      <c r="B411" s="27"/>
      <c r="C411" s="27"/>
      <c r="D411" s="27"/>
      <c r="E411" s="8"/>
      <c r="F411" s="8"/>
      <c r="G411" s="14"/>
      <c r="H411" s="8"/>
      <c r="I411" s="8"/>
      <c r="J411" s="8"/>
      <c r="K411" s="27"/>
      <c r="L411" s="8"/>
      <c r="M411" s="27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>
      <c r="A412" s="27"/>
      <c r="B412" s="27"/>
      <c r="C412" s="27"/>
      <c r="D412" s="27"/>
      <c r="E412" s="8"/>
      <c r="F412" s="8"/>
      <c r="G412" s="14"/>
      <c r="H412" s="8"/>
      <c r="I412" s="8"/>
      <c r="J412" s="8"/>
      <c r="K412" s="27"/>
      <c r="L412" s="8"/>
      <c r="M412" s="27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>
      <c r="A413" s="27"/>
      <c r="B413" s="27"/>
      <c r="C413" s="27"/>
      <c r="D413" s="27"/>
      <c r="E413" s="8"/>
      <c r="F413" s="8"/>
      <c r="G413" s="14"/>
      <c r="H413" s="8"/>
      <c r="I413" s="8"/>
      <c r="J413" s="8"/>
      <c r="K413" s="27"/>
      <c r="L413" s="8"/>
      <c r="M413" s="27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>
      <c r="A414" s="27"/>
      <c r="B414" s="27"/>
      <c r="C414" s="27"/>
      <c r="D414" s="27"/>
      <c r="E414" s="8"/>
      <c r="F414" s="8"/>
      <c r="G414" s="14"/>
      <c r="H414" s="8"/>
      <c r="I414" s="8"/>
      <c r="J414" s="8"/>
      <c r="K414" s="27"/>
      <c r="L414" s="8"/>
      <c r="M414" s="27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>
      <c r="A415" s="27"/>
      <c r="B415" s="27"/>
      <c r="C415" s="27"/>
      <c r="D415" s="27"/>
      <c r="E415" s="8"/>
      <c r="F415" s="8"/>
      <c r="G415" s="14"/>
      <c r="H415" s="8"/>
      <c r="I415" s="8"/>
      <c r="J415" s="8"/>
      <c r="K415" s="27"/>
      <c r="L415" s="8"/>
      <c r="M415" s="27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>
      <c r="A416" s="27"/>
      <c r="B416" s="27"/>
      <c r="C416" s="27"/>
      <c r="D416" s="27"/>
      <c r="E416" s="8"/>
      <c r="F416" s="8"/>
      <c r="G416" s="14"/>
      <c r="H416" s="8"/>
      <c r="I416" s="8"/>
      <c r="J416" s="8"/>
      <c r="K416" s="27"/>
      <c r="L416" s="8"/>
      <c r="M416" s="27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>
      <c r="A417" s="27"/>
      <c r="B417" s="27"/>
      <c r="C417" s="27"/>
      <c r="D417" s="27"/>
      <c r="E417" s="8"/>
      <c r="F417" s="8"/>
      <c r="G417" s="14"/>
      <c r="H417" s="8"/>
      <c r="I417" s="8"/>
      <c r="J417" s="8"/>
      <c r="K417" s="27"/>
      <c r="L417" s="8"/>
      <c r="M417" s="27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>
      <c r="A418" s="27"/>
      <c r="B418" s="27"/>
      <c r="C418" s="27"/>
      <c r="D418" s="27"/>
      <c r="E418" s="8"/>
      <c r="F418" s="8"/>
      <c r="G418" s="14"/>
      <c r="H418" s="8"/>
      <c r="I418" s="8"/>
      <c r="J418" s="8"/>
      <c r="K418" s="27"/>
      <c r="L418" s="8"/>
      <c r="M418" s="27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>
      <c r="A419" s="27"/>
      <c r="B419" s="27"/>
      <c r="C419" s="27"/>
      <c r="D419" s="27"/>
      <c r="E419" s="8"/>
      <c r="F419" s="8"/>
      <c r="G419" s="14"/>
      <c r="H419" s="8"/>
      <c r="I419" s="8"/>
      <c r="J419" s="8"/>
      <c r="K419" s="27"/>
      <c r="L419" s="8"/>
      <c r="M419" s="27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>
      <c r="A420" s="27"/>
      <c r="B420" s="27"/>
      <c r="C420" s="27"/>
      <c r="D420" s="27"/>
      <c r="E420" s="8"/>
      <c r="F420" s="8"/>
      <c r="G420" s="14"/>
      <c r="H420" s="8"/>
      <c r="I420" s="8"/>
      <c r="J420" s="8"/>
      <c r="K420" s="27"/>
      <c r="L420" s="8"/>
      <c r="M420" s="27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>
      <c r="A421" s="27"/>
      <c r="B421" s="27"/>
      <c r="C421" s="27"/>
      <c r="D421" s="27"/>
      <c r="E421" s="8"/>
      <c r="F421" s="8"/>
      <c r="G421" s="14"/>
      <c r="H421" s="8"/>
      <c r="I421" s="8"/>
      <c r="J421" s="8"/>
      <c r="K421" s="27"/>
      <c r="L421" s="8"/>
      <c r="M421" s="27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>
      <c r="A422" s="27"/>
      <c r="B422" s="27"/>
      <c r="C422" s="27"/>
      <c r="D422" s="27"/>
      <c r="E422" s="8"/>
      <c r="F422" s="8"/>
      <c r="G422" s="14"/>
      <c r="H422" s="8"/>
      <c r="I422" s="8"/>
      <c r="J422" s="8"/>
      <c r="K422" s="27"/>
      <c r="L422" s="8"/>
      <c r="M422" s="27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>
      <c r="A423" s="27"/>
      <c r="B423" s="27"/>
      <c r="C423" s="27"/>
      <c r="D423" s="27"/>
      <c r="E423" s="8"/>
      <c r="F423" s="8"/>
      <c r="G423" s="14"/>
      <c r="H423" s="8"/>
      <c r="I423" s="8"/>
      <c r="J423" s="8"/>
      <c r="K423" s="27"/>
      <c r="L423" s="8"/>
      <c r="M423" s="27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>
      <c r="A424" s="27"/>
      <c r="B424" s="27"/>
      <c r="C424" s="27"/>
      <c r="D424" s="27"/>
      <c r="E424" s="8"/>
      <c r="F424" s="8"/>
      <c r="G424" s="14"/>
      <c r="H424" s="8"/>
      <c r="I424" s="8"/>
      <c r="J424" s="8"/>
      <c r="K424" s="27"/>
      <c r="L424" s="8"/>
      <c r="M424" s="27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>
      <c r="A425" s="27"/>
      <c r="B425" s="27"/>
      <c r="C425" s="27"/>
      <c r="D425" s="27"/>
      <c r="E425" s="8"/>
      <c r="F425" s="8"/>
      <c r="G425" s="14"/>
      <c r="H425" s="8"/>
      <c r="I425" s="8"/>
      <c r="J425" s="8"/>
      <c r="K425" s="27"/>
      <c r="L425" s="8"/>
      <c r="M425" s="27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>
      <c r="A426" s="27"/>
      <c r="B426" s="27"/>
      <c r="C426" s="27"/>
      <c r="D426" s="27"/>
      <c r="E426" s="8"/>
      <c r="F426" s="8"/>
      <c r="G426" s="14"/>
      <c r="H426" s="8"/>
      <c r="I426" s="8"/>
      <c r="J426" s="8"/>
      <c r="K426" s="27"/>
      <c r="L426" s="8"/>
      <c r="M426" s="27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>
      <c r="A427" s="27"/>
      <c r="B427" s="27"/>
      <c r="C427" s="27"/>
      <c r="D427" s="27"/>
      <c r="E427" s="8"/>
      <c r="F427" s="8"/>
      <c r="G427" s="14"/>
      <c r="H427" s="8"/>
      <c r="I427" s="8"/>
      <c r="J427" s="8"/>
      <c r="K427" s="27"/>
      <c r="L427" s="8"/>
      <c r="M427" s="27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>
      <c r="A428" s="27"/>
      <c r="B428" s="27"/>
      <c r="C428" s="27"/>
      <c r="D428" s="27"/>
      <c r="E428" s="8"/>
      <c r="F428" s="8"/>
      <c r="G428" s="14"/>
      <c r="H428" s="8"/>
      <c r="I428" s="8"/>
      <c r="J428" s="8"/>
      <c r="K428" s="27"/>
      <c r="L428" s="8"/>
      <c r="M428" s="27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>
      <c r="A429" s="27"/>
      <c r="B429" s="27"/>
      <c r="C429" s="27"/>
      <c r="D429" s="27"/>
      <c r="E429" s="8"/>
      <c r="F429" s="8"/>
      <c r="G429" s="14"/>
      <c r="H429" s="8"/>
      <c r="I429" s="8"/>
      <c r="J429" s="8"/>
      <c r="K429" s="27"/>
      <c r="L429" s="8"/>
      <c r="M429" s="27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>
      <c r="A430" s="27"/>
      <c r="B430" s="27"/>
      <c r="C430" s="27"/>
      <c r="D430" s="27"/>
      <c r="E430" s="8"/>
      <c r="F430" s="8"/>
      <c r="G430" s="14"/>
      <c r="H430" s="8"/>
      <c r="I430" s="8"/>
      <c r="J430" s="8"/>
      <c r="K430" s="27"/>
      <c r="L430" s="8"/>
      <c r="M430" s="27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>
      <c r="A431" s="27"/>
      <c r="B431" s="27"/>
      <c r="C431" s="27"/>
      <c r="D431" s="27"/>
      <c r="E431" s="8"/>
      <c r="F431" s="8"/>
      <c r="G431" s="14"/>
      <c r="H431" s="8"/>
      <c r="I431" s="8"/>
      <c r="J431" s="8"/>
      <c r="K431" s="27"/>
      <c r="L431" s="8"/>
      <c r="M431" s="27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>
      <c r="A432" s="27"/>
      <c r="B432" s="27"/>
      <c r="C432" s="27"/>
      <c r="D432" s="27"/>
      <c r="E432" s="8"/>
      <c r="F432" s="8"/>
      <c r="G432" s="14"/>
      <c r="H432" s="8"/>
      <c r="I432" s="8"/>
      <c r="J432" s="8"/>
      <c r="K432" s="27"/>
      <c r="L432" s="8"/>
      <c r="M432" s="27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>
      <c r="A433" s="27"/>
      <c r="B433" s="27"/>
      <c r="C433" s="27"/>
      <c r="D433" s="27"/>
      <c r="E433" s="8"/>
      <c r="F433" s="8"/>
      <c r="G433" s="14"/>
      <c r="H433" s="8"/>
      <c r="I433" s="8"/>
      <c r="J433" s="8"/>
      <c r="K433" s="27"/>
      <c r="L433" s="8"/>
      <c r="M433" s="27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>
      <c r="A434" s="27"/>
      <c r="B434" s="27"/>
      <c r="C434" s="27"/>
      <c r="D434" s="27"/>
      <c r="E434" s="8"/>
      <c r="F434" s="8"/>
      <c r="G434" s="14"/>
      <c r="H434" s="8"/>
      <c r="I434" s="8"/>
      <c r="J434" s="8"/>
      <c r="K434" s="27"/>
      <c r="L434" s="8"/>
      <c r="M434" s="27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>
      <c r="A435" s="27"/>
      <c r="B435" s="27"/>
      <c r="C435" s="27"/>
      <c r="D435" s="27"/>
      <c r="E435" s="8"/>
      <c r="F435" s="8"/>
      <c r="G435" s="14"/>
      <c r="H435" s="8"/>
      <c r="I435" s="8"/>
      <c r="J435" s="8"/>
      <c r="K435" s="27"/>
      <c r="L435" s="8"/>
      <c r="M435" s="27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>
      <c r="A436" s="27"/>
      <c r="B436" s="27"/>
      <c r="C436" s="27"/>
      <c r="D436" s="27"/>
      <c r="E436" s="8"/>
      <c r="F436" s="8"/>
      <c r="G436" s="14"/>
      <c r="H436" s="8"/>
      <c r="I436" s="8"/>
      <c r="J436" s="8"/>
      <c r="K436" s="27"/>
      <c r="L436" s="8"/>
      <c r="M436" s="27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>
      <c r="A437" s="27"/>
      <c r="B437" s="27"/>
      <c r="C437" s="27"/>
      <c r="D437" s="27"/>
      <c r="E437" s="8"/>
      <c r="F437" s="8"/>
      <c r="G437" s="14"/>
      <c r="H437" s="8"/>
      <c r="I437" s="8"/>
      <c r="J437" s="8"/>
      <c r="K437" s="27"/>
      <c r="L437" s="8"/>
      <c r="M437" s="27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>
      <c r="A438" s="27"/>
      <c r="B438" s="27"/>
      <c r="C438" s="27"/>
      <c r="D438" s="27"/>
      <c r="E438" s="8"/>
      <c r="F438" s="8"/>
      <c r="G438" s="14"/>
      <c r="H438" s="8"/>
      <c r="I438" s="8"/>
      <c r="J438" s="8"/>
      <c r="K438" s="27"/>
      <c r="L438" s="8"/>
      <c r="M438" s="27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>
      <c r="A439" s="27"/>
      <c r="B439" s="27"/>
      <c r="C439" s="27"/>
      <c r="D439" s="27"/>
      <c r="E439" s="8"/>
      <c r="F439" s="8"/>
      <c r="G439" s="14"/>
      <c r="H439" s="8"/>
      <c r="I439" s="8"/>
      <c r="J439" s="8"/>
      <c r="K439" s="27"/>
      <c r="L439" s="8"/>
      <c r="M439" s="27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>
      <c r="A440" s="27"/>
      <c r="B440" s="27"/>
      <c r="C440" s="27"/>
      <c r="D440" s="27"/>
      <c r="E440" s="8"/>
      <c r="F440" s="8"/>
      <c r="G440" s="14"/>
      <c r="H440" s="8"/>
      <c r="I440" s="8"/>
      <c r="J440" s="8"/>
      <c r="K440" s="27"/>
      <c r="L440" s="8"/>
      <c r="M440" s="27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>
      <c r="A441" s="27"/>
      <c r="B441" s="27"/>
      <c r="C441" s="27"/>
      <c r="D441" s="27"/>
      <c r="E441" s="8"/>
      <c r="F441" s="8"/>
      <c r="G441" s="14"/>
      <c r="H441" s="8"/>
      <c r="I441" s="8"/>
      <c r="J441" s="8"/>
      <c r="K441" s="27"/>
      <c r="L441" s="8"/>
      <c r="M441" s="27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>
      <c r="A442" s="27"/>
      <c r="B442" s="27"/>
      <c r="C442" s="27"/>
      <c r="D442" s="27"/>
      <c r="E442" s="8"/>
      <c r="F442" s="8"/>
      <c r="G442" s="14"/>
      <c r="H442" s="8"/>
      <c r="I442" s="8"/>
      <c r="J442" s="8"/>
      <c r="K442" s="27"/>
      <c r="L442" s="8"/>
      <c r="M442" s="27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>
      <c r="A443" s="27"/>
      <c r="B443" s="27"/>
      <c r="C443" s="27"/>
      <c r="D443" s="27"/>
      <c r="E443" s="8"/>
      <c r="F443" s="8"/>
      <c r="G443" s="14"/>
      <c r="H443" s="8"/>
      <c r="I443" s="8"/>
      <c r="J443" s="8"/>
      <c r="K443" s="27"/>
      <c r="L443" s="8"/>
      <c r="M443" s="27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>
      <c r="A444" s="27"/>
      <c r="B444" s="27"/>
      <c r="C444" s="27"/>
      <c r="D444" s="27"/>
      <c r="E444" s="8"/>
      <c r="F444" s="8"/>
      <c r="G444" s="14"/>
      <c r="H444" s="8"/>
      <c r="I444" s="8"/>
      <c r="J444" s="8"/>
      <c r="K444" s="27"/>
      <c r="L444" s="8"/>
      <c r="M444" s="27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>
      <c r="A445" s="27"/>
      <c r="B445" s="27"/>
      <c r="C445" s="27"/>
      <c r="D445" s="27"/>
      <c r="E445" s="8"/>
      <c r="F445" s="8"/>
      <c r="G445" s="14"/>
      <c r="H445" s="8"/>
      <c r="I445" s="8"/>
      <c r="J445" s="8"/>
      <c r="K445" s="27"/>
      <c r="L445" s="8"/>
      <c r="M445" s="27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>
      <c r="A446" s="27"/>
      <c r="B446" s="27"/>
      <c r="C446" s="27"/>
      <c r="D446" s="27"/>
      <c r="E446" s="8"/>
      <c r="F446" s="8"/>
      <c r="G446" s="14"/>
      <c r="H446" s="8"/>
      <c r="I446" s="8"/>
      <c r="J446" s="8"/>
      <c r="K446" s="27"/>
      <c r="L446" s="8"/>
      <c r="M446" s="27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>
      <c r="A447" s="27"/>
      <c r="B447" s="27"/>
      <c r="C447" s="27"/>
      <c r="D447" s="27"/>
      <c r="E447" s="8"/>
      <c r="F447" s="8"/>
      <c r="G447" s="14"/>
      <c r="H447" s="8"/>
      <c r="I447" s="8"/>
      <c r="J447" s="8"/>
      <c r="K447" s="27"/>
      <c r="L447" s="8"/>
      <c r="M447" s="27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>
      <c r="A448" s="27"/>
      <c r="B448" s="27"/>
      <c r="C448" s="27"/>
      <c r="D448" s="27"/>
      <c r="E448" s="8"/>
      <c r="F448" s="8"/>
      <c r="G448" s="14"/>
      <c r="H448" s="8"/>
      <c r="I448" s="8"/>
      <c r="J448" s="8"/>
      <c r="K448" s="27"/>
      <c r="L448" s="8"/>
      <c r="M448" s="27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>
      <c r="A449" s="27"/>
      <c r="B449" s="27"/>
      <c r="C449" s="27"/>
      <c r="D449" s="27"/>
      <c r="E449" s="8"/>
      <c r="F449" s="8"/>
      <c r="G449" s="14"/>
      <c r="H449" s="8"/>
      <c r="I449" s="8"/>
      <c r="J449" s="8"/>
      <c r="K449" s="27"/>
      <c r="L449" s="8"/>
      <c r="M449" s="27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>
      <c r="A450" s="27"/>
      <c r="B450" s="27"/>
      <c r="C450" s="27"/>
      <c r="D450" s="27"/>
      <c r="E450" s="8"/>
      <c r="F450" s="8"/>
      <c r="G450" s="14"/>
      <c r="H450" s="8"/>
      <c r="I450" s="8"/>
      <c r="J450" s="8"/>
      <c r="K450" s="27"/>
      <c r="L450" s="8"/>
      <c r="M450" s="27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>
      <c r="A451" s="27"/>
      <c r="B451" s="27"/>
      <c r="C451" s="27"/>
      <c r="D451" s="27"/>
      <c r="E451" s="8"/>
      <c r="F451" s="8"/>
      <c r="G451" s="14"/>
      <c r="H451" s="8"/>
      <c r="I451" s="8"/>
      <c r="J451" s="8"/>
      <c r="K451" s="27"/>
      <c r="L451" s="8"/>
      <c r="M451" s="27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>
      <c r="A452" s="27"/>
      <c r="B452" s="27"/>
      <c r="C452" s="27"/>
      <c r="D452" s="27"/>
      <c r="E452" s="8"/>
      <c r="F452" s="8"/>
      <c r="G452" s="14"/>
      <c r="H452" s="8"/>
      <c r="I452" s="8"/>
      <c r="J452" s="8"/>
      <c r="K452" s="27"/>
      <c r="L452" s="8"/>
      <c r="M452" s="27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>
      <c r="A453" s="27"/>
      <c r="B453" s="27"/>
      <c r="C453" s="27"/>
      <c r="D453" s="27"/>
      <c r="E453" s="8"/>
      <c r="F453" s="8"/>
      <c r="G453" s="14"/>
      <c r="H453" s="8"/>
      <c r="I453" s="8"/>
      <c r="J453" s="8"/>
      <c r="K453" s="27"/>
      <c r="L453" s="8"/>
      <c r="M453" s="27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>
      <c r="A454" s="27"/>
      <c r="B454" s="27"/>
      <c r="C454" s="27"/>
      <c r="D454" s="27"/>
      <c r="E454" s="8"/>
      <c r="F454" s="8"/>
      <c r="G454" s="14"/>
      <c r="H454" s="8"/>
      <c r="I454" s="8"/>
      <c r="J454" s="8"/>
      <c r="K454" s="27"/>
      <c r="L454" s="8"/>
      <c r="M454" s="27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>
      <c r="A455" s="27"/>
      <c r="B455" s="27"/>
      <c r="C455" s="27"/>
      <c r="D455" s="27"/>
      <c r="E455" s="8"/>
      <c r="F455" s="8"/>
      <c r="G455" s="14"/>
      <c r="H455" s="8"/>
      <c r="I455" s="8"/>
      <c r="J455" s="8"/>
      <c r="K455" s="27"/>
      <c r="L455" s="8"/>
      <c r="M455" s="27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>
      <c r="A456" s="27"/>
      <c r="B456" s="27"/>
      <c r="C456" s="27"/>
      <c r="D456" s="27"/>
      <c r="E456" s="8"/>
      <c r="F456" s="8"/>
      <c r="G456" s="14"/>
      <c r="H456" s="8"/>
      <c r="I456" s="8"/>
      <c r="J456" s="8"/>
      <c r="K456" s="27"/>
      <c r="L456" s="8"/>
      <c r="M456" s="27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>
      <c r="A457" s="27"/>
      <c r="B457" s="27"/>
      <c r="C457" s="27"/>
      <c r="D457" s="27"/>
      <c r="E457" s="8"/>
      <c r="F457" s="8"/>
      <c r="G457" s="14"/>
      <c r="H457" s="8"/>
      <c r="I457" s="8"/>
      <c r="J457" s="8"/>
      <c r="K457" s="27"/>
      <c r="L457" s="8"/>
      <c r="M457" s="27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>
      <c r="A458" s="27"/>
      <c r="B458" s="27"/>
      <c r="C458" s="27"/>
      <c r="D458" s="27"/>
      <c r="E458" s="8"/>
      <c r="F458" s="8"/>
      <c r="G458" s="14"/>
      <c r="H458" s="8"/>
      <c r="I458" s="8"/>
      <c r="J458" s="8"/>
      <c r="K458" s="27"/>
      <c r="L458" s="8"/>
      <c r="M458" s="27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>
      <c r="A459" s="27"/>
      <c r="B459" s="27"/>
      <c r="C459" s="27"/>
      <c r="D459" s="27"/>
      <c r="E459" s="8"/>
      <c r="F459" s="8"/>
      <c r="G459" s="14"/>
      <c r="H459" s="8"/>
      <c r="I459" s="8"/>
      <c r="J459" s="8"/>
      <c r="K459" s="27"/>
      <c r="L459" s="8"/>
      <c r="M459" s="27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>
      <c r="A460" s="27"/>
      <c r="B460" s="27"/>
      <c r="C460" s="27"/>
      <c r="D460" s="27"/>
      <c r="E460" s="8"/>
      <c r="F460" s="8"/>
      <c r="G460" s="14"/>
      <c r="H460" s="8"/>
      <c r="I460" s="8"/>
      <c r="J460" s="8"/>
      <c r="K460" s="27"/>
      <c r="L460" s="8"/>
      <c r="M460" s="27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>
      <c r="A461" s="27"/>
      <c r="B461" s="27"/>
      <c r="C461" s="27"/>
      <c r="D461" s="27"/>
      <c r="E461" s="8"/>
      <c r="F461" s="8"/>
      <c r="G461" s="14"/>
      <c r="H461" s="8"/>
      <c r="I461" s="8"/>
      <c r="J461" s="8"/>
      <c r="K461" s="27"/>
      <c r="L461" s="8"/>
      <c r="M461" s="27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>
      <c r="A462" s="27"/>
      <c r="B462" s="27"/>
      <c r="C462" s="27"/>
      <c r="D462" s="27"/>
      <c r="E462" s="8"/>
      <c r="F462" s="8"/>
      <c r="G462" s="14"/>
      <c r="H462" s="8"/>
      <c r="I462" s="8"/>
      <c r="J462" s="8"/>
      <c r="K462" s="27"/>
      <c r="L462" s="8"/>
      <c r="M462" s="27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>
      <c r="A463" s="27"/>
      <c r="B463" s="27"/>
      <c r="C463" s="27"/>
      <c r="D463" s="27"/>
      <c r="E463" s="8"/>
      <c r="F463" s="8"/>
      <c r="G463" s="14"/>
      <c r="H463" s="8"/>
      <c r="I463" s="8"/>
      <c r="J463" s="8"/>
      <c r="K463" s="27"/>
      <c r="L463" s="8"/>
      <c r="M463" s="27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>
      <c r="A464" s="27"/>
      <c r="B464" s="27"/>
      <c r="C464" s="27"/>
      <c r="D464" s="27"/>
      <c r="E464" s="8"/>
      <c r="F464" s="8"/>
      <c r="G464" s="14"/>
      <c r="H464" s="8"/>
      <c r="I464" s="8"/>
      <c r="J464" s="8"/>
      <c r="K464" s="27"/>
      <c r="L464" s="8"/>
      <c r="M464" s="27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>
      <c r="A465" s="27"/>
      <c r="B465" s="27"/>
      <c r="C465" s="27"/>
      <c r="D465" s="27"/>
      <c r="E465" s="8"/>
      <c r="F465" s="8"/>
      <c r="G465" s="14"/>
      <c r="H465" s="8"/>
      <c r="I465" s="8"/>
      <c r="J465" s="8"/>
      <c r="K465" s="27"/>
      <c r="L465" s="8"/>
      <c r="M465" s="27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>
      <c r="A466" s="27"/>
      <c r="B466" s="27"/>
      <c r="C466" s="27"/>
      <c r="D466" s="27"/>
      <c r="E466" s="8"/>
      <c r="F466" s="8"/>
      <c r="G466" s="14"/>
      <c r="H466" s="8"/>
      <c r="I466" s="8"/>
      <c r="J466" s="8"/>
      <c r="K466" s="27"/>
      <c r="L466" s="8"/>
      <c r="M466" s="27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>
      <c r="A467" s="27"/>
      <c r="B467" s="27"/>
      <c r="C467" s="27"/>
      <c r="D467" s="27"/>
      <c r="E467" s="8"/>
      <c r="F467" s="8"/>
      <c r="G467" s="14"/>
      <c r="H467" s="8"/>
      <c r="I467" s="8"/>
      <c r="J467" s="8"/>
      <c r="K467" s="27"/>
      <c r="L467" s="8"/>
      <c r="M467" s="27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>
      <c r="A468" s="27"/>
      <c r="B468" s="27"/>
      <c r="C468" s="27"/>
      <c r="D468" s="27"/>
      <c r="E468" s="8"/>
      <c r="F468" s="8"/>
      <c r="G468" s="14"/>
      <c r="H468" s="8"/>
      <c r="I468" s="8"/>
      <c r="J468" s="8"/>
      <c r="K468" s="27"/>
      <c r="L468" s="8"/>
      <c r="M468" s="27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>
      <c r="A469" s="27"/>
      <c r="B469" s="27"/>
      <c r="C469" s="27"/>
      <c r="D469" s="27"/>
      <c r="E469" s="8"/>
      <c r="F469" s="8"/>
      <c r="G469" s="14"/>
      <c r="H469" s="8"/>
      <c r="I469" s="8"/>
      <c r="J469" s="8"/>
      <c r="K469" s="27"/>
      <c r="L469" s="8"/>
      <c r="M469" s="27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>
      <c r="A470" s="27"/>
      <c r="B470" s="27"/>
      <c r="C470" s="27"/>
      <c r="D470" s="27"/>
      <c r="E470" s="8"/>
      <c r="F470" s="8"/>
      <c r="G470" s="14"/>
      <c r="H470" s="8"/>
      <c r="I470" s="8"/>
      <c r="J470" s="8"/>
      <c r="K470" s="27"/>
      <c r="L470" s="8"/>
      <c r="M470" s="27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>
      <c r="A471" s="27"/>
      <c r="B471" s="27"/>
      <c r="C471" s="27"/>
      <c r="D471" s="27"/>
      <c r="E471" s="8"/>
      <c r="F471" s="8"/>
      <c r="G471" s="14"/>
      <c r="H471" s="8"/>
      <c r="I471" s="8"/>
      <c r="J471" s="8"/>
      <c r="K471" s="27"/>
      <c r="L471" s="8"/>
      <c r="M471" s="27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>
      <c r="A472" s="27"/>
      <c r="B472" s="27"/>
      <c r="C472" s="27"/>
      <c r="D472" s="27"/>
      <c r="E472" s="8"/>
      <c r="F472" s="8"/>
      <c r="G472" s="14"/>
      <c r="H472" s="8"/>
      <c r="I472" s="8"/>
      <c r="J472" s="8"/>
      <c r="K472" s="27"/>
      <c r="L472" s="8"/>
      <c r="M472" s="27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>
      <c r="A473" s="27"/>
      <c r="B473" s="27"/>
      <c r="C473" s="27"/>
      <c r="D473" s="27"/>
      <c r="E473" s="8"/>
      <c r="F473" s="8"/>
      <c r="G473" s="14"/>
      <c r="H473" s="8"/>
      <c r="I473" s="8"/>
      <c r="J473" s="8"/>
      <c r="K473" s="27"/>
      <c r="L473" s="8"/>
      <c r="M473" s="27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>
      <c r="A474" s="27"/>
      <c r="B474" s="27"/>
      <c r="C474" s="27"/>
      <c r="D474" s="27"/>
      <c r="E474" s="8"/>
      <c r="F474" s="8"/>
      <c r="G474" s="14"/>
      <c r="H474" s="8"/>
      <c r="I474" s="8"/>
      <c r="J474" s="8"/>
      <c r="K474" s="27"/>
      <c r="L474" s="8"/>
      <c r="M474" s="27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>
      <c r="A475" s="27"/>
      <c r="B475" s="27"/>
      <c r="C475" s="27"/>
      <c r="D475" s="27"/>
      <c r="E475" s="8"/>
      <c r="F475" s="8"/>
      <c r="G475" s="14"/>
      <c r="H475" s="8"/>
      <c r="I475" s="8"/>
      <c r="J475" s="8"/>
      <c r="K475" s="27"/>
      <c r="L475" s="8"/>
      <c r="M475" s="27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>
      <c r="A476" s="27"/>
      <c r="B476" s="27"/>
      <c r="C476" s="27"/>
      <c r="D476" s="27"/>
      <c r="E476" s="8"/>
      <c r="F476" s="8"/>
      <c r="G476" s="14"/>
      <c r="H476" s="8"/>
      <c r="I476" s="8"/>
      <c r="J476" s="8"/>
      <c r="K476" s="27"/>
      <c r="L476" s="8"/>
      <c r="M476" s="27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>
      <c r="A477" s="27"/>
      <c r="B477" s="27"/>
      <c r="C477" s="27"/>
      <c r="D477" s="27"/>
      <c r="E477" s="8"/>
      <c r="F477" s="8"/>
      <c r="G477" s="14"/>
      <c r="H477" s="8"/>
      <c r="I477" s="8"/>
      <c r="J477" s="8"/>
      <c r="K477" s="27"/>
      <c r="L477" s="8"/>
      <c r="M477" s="27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>
      <c r="A478" s="27"/>
      <c r="B478" s="27"/>
      <c r="C478" s="27"/>
      <c r="D478" s="27"/>
      <c r="E478" s="8"/>
      <c r="F478" s="8"/>
      <c r="G478" s="14"/>
      <c r="H478" s="8"/>
      <c r="I478" s="8"/>
      <c r="J478" s="8"/>
      <c r="K478" s="27"/>
      <c r="L478" s="8"/>
      <c r="M478" s="27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>
      <c r="A479" s="27"/>
      <c r="B479" s="27"/>
      <c r="C479" s="27"/>
      <c r="D479" s="27"/>
      <c r="E479" s="8"/>
      <c r="F479" s="8"/>
      <c r="G479" s="14"/>
      <c r="H479" s="8"/>
      <c r="I479" s="8"/>
      <c r="J479" s="8"/>
      <c r="K479" s="27"/>
      <c r="L479" s="8"/>
      <c r="M479" s="27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>
      <c r="A480" s="27"/>
      <c r="B480" s="27"/>
      <c r="C480" s="27"/>
      <c r="D480" s="27"/>
      <c r="E480" s="8"/>
      <c r="F480" s="8"/>
      <c r="G480" s="14"/>
      <c r="H480" s="8"/>
      <c r="I480" s="8"/>
      <c r="J480" s="8"/>
      <c r="K480" s="27"/>
      <c r="L480" s="8"/>
      <c r="M480" s="27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>
      <c r="A481" s="27"/>
      <c r="B481" s="27"/>
      <c r="C481" s="27"/>
      <c r="D481" s="27"/>
      <c r="E481" s="8"/>
      <c r="F481" s="8"/>
      <c r="G481" s="14"/>
      <c r="H481" s="8"/>
      <c r="I481" s="8"/>
      <c r="J481" s="8"/>
      <c r="K481" s="27"/>
      <c r="L481" s="8"/>
      <c r="M481" s="27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>
      <c r="A482" s="27"/>
      <c r="B482" s="27"/>
      <c r="C482" s="27"/>
      <c r="D482" s="27"/>
      <c r="E482" s="8"/>
      <c r="F482" s="8"/>
      <c r="G482" s="14"/>
      <c r="H482" s="8"/>
      <c r="I482" s="8"/>
      <c r="J482" s="8"/>
      <c r="K482" s="27"/>
      <c r="L482" s="8"/>
      <c r="M482" s="27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>
      <c r="A483" s="27"/>
      <c r="B483" s="27"/>
      <c r="C483" s="27"/>
      <c r="D483" s="27"/>
      <c r="E483" s="8"/>
      <c r="F483" s="8"/>
      <c r="G483" s="14"/>
      <c r="H483" s="8"/>
      <c r="I483" s="8"/>
      <c r="J483" s="8"/>
      <c r="K483" s="27"/>
      <c r="L483" s="8"/>
      <c r="M483" s="27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>
      <c r="A484" s="27"/>
      <c r="B484" s="27"/>
      <c r="C484" s="27"/>
      <c r="D484" s="27"/>
      <c r="E484" s="8"/>
      <c r="F484" s="8"/>
      <c r="G484" s="14"/>
      <c r="H484" s="8"/>
      <c r="I484" s="8"/>
      <c r="J484" s="8"/>
      <c r="K484" s="27"/>
      <c r="L484" s="8"/>
      <c r="M484" s="27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>
      <c r="A485" s="27"/>
      <c r="B485" s="27"/>
      <c r="C485" s="27"/>
      <c r="D485" s="27"/>
      <c r="E485" s="8"/>
      <c r="F485" s="8"/>
      <c r="G485" s="14"/>
      <c r="H485" s="8"/>
      <c r="I485" s="8"/>
      <c r="J485" s="8"/>
      <c r="K485" s="27"/>
      <c r="L485" s="8"/>
      <c r="M485" s="27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>
      <c r="A486" s="27"/>
      <c r="B486" s="27"/>
      <c r="C486" s="27"/>
      <c r="D486" s="27"/>
      <c r="E486" s="8"/>
      <c r="F486" s="8"/>
      <c r="G486" s="14"/>
      <c r="H486" s="8"/>
      <c r="I486" s="8"/>
      <c r="J486" s="8"/>
      <c r="K486" s="27"/>
      <c r="L486" s="8"/>
      <c r="M486" s="27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>
      <c r="A487" s="27"/>
      <c r="B487" s="27"/>
      <c r="C487" s="27"/>
      <c r="D487" s="27"/>
      <c r="E487" s="8"/>
      <c r="F487" s="8"/>
      <c r="G487" s="14"/>
      <c r="H487" s="8"/>
      <c r="I487" s="8"/>
      <c r="J487" s="8"/>
      <c r="K487" s="27"/>
      <c r="L487" s="8"/>
      <c r="M487" s="27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>
      <c r="A488" s="27"/>
      <c r="B488" s="27"/>
      <c r="C488" s="27"/>
      <c r="D488" s="27"/>
      <c r="E488" s="8"/>
      <c r="F488" s="8"/>
      <c r="G488" s="14"/>
      <c r="H488" s="8"/>
      <c r="I488" s="8"/>
      <c r="J488" s="8"/>
      <c r="K488" s="27"/>
      <c r="L488" s="8"/>
      <c r="M488" s="27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>
      <c r="A489" s="27"/>
      <c r="B489" s="27"/>
      <c r="C489" s="27"/>
      <c r="D489" s="27"/>
      <c r="E489" s="8"/>
      <c r="F489" s="8"/>
      <c r="G489" s="14"/>
      <c r="H489" s="8"/>
      <c r="I489" s="8"/>
      <c r="J489" s="8"/>
      <c r="K489" s="27"/>
      <c r="L489" s="8"/>
      <c r="M489" s="27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>
      <c r="A490" s="27"/>
      <c r="B490" s="27"/>
      <c r="C490" s="27"/>
      <c r="D490" s="27"/>
      <c r="E490" s="8"/>
      <c r="F490" s="8"/>
      <c r="G490" s="14"/>
      <c r="H490" s="8"/>
      <c r="I490" s="8"/>
      <c r="J490" s="8"/>
      <c r="K490" s="27"/>
      <c r="L490" s="8"/>
      <c r="M490" s="27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>
      <c r="A491" s="27"/>
      <c r="B491" s="27"/>
      <c r="C491" s="27"/>
      <c r="D491" s="27"/>
      <c r="E491" s="8"/>
      <c r="F491" s="8"/>
      <c r="G491" s="14"/>
      <c r="H491" s="8"/>
      <c r="I491" s="8"/>
      <c r="J491" s="8"/>
      <c r="K491" s="27"/>
      <c r="L491" s="8"/>
      <c r="M491" s="27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>
      <c r="A492" s="27"/>
      <c r="B492" s="27"/>
      <c r="C492" s="27"/>
      <c r="D492" s="27"/>
      <c r="E492" s="8"/>
      <c r="F492" s="8"/>
      <c r="G492" s="14"/>
      <c r="H492" s="8"/>
      <c r="I492" s="8"/>
      <c r="J492" s="8"/>
      <c r="K492" s="27"/>
      <c r="L492" s="8"/>
      <c r="M492" s="27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>
      <c r="A493" s="27"/>
      <c r="B493" s="27"/>
      <c r="C493" s="27"/>
      <c r="D493" s="27"/>
      <c r="E493" s="8"/>
      <c r="F493" s="8"/>
      <c r="G493" s="14"/>
      <c r="H493" s="8"/>
      <c r="I493" s="8"/>
      <c r="J493" s="8"/>
      <c r="K493" s="27"/>
      <c r="L493" s="8"/>
      <c r="M493" s="27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>
      <c r="A494" s="27"/>
      <c r="B494" s="27"/>
      <c r="C494" s="27"/>
      <c r="D494" s="27"/>
      <c r="E494" s="8"/>
      <c r="F494" s="8"/>
      <c r="G494" s="14"/>
      <c r="H494" s="8"/>
      <c r="I494" s="8"/>
      <c r="J494" s="8"/>
      <c r="K494" s="27"/>
      <c r="L494" s="8"/>
      <c r="M494" s="27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>
      <c r="A495" s="27"/>
      <c r="B495" s="27"/>
      <c r="C495" s="27"/>
      <c r="D495" s="27"/>
      <c r="E495" s="8"/>
      <c r="F495" s="8"/>
      <c r="G495" s="14"/>
      <c r="H495" s="8"/>
      <c r="I495" s="8"/>
      <c r="J495" s="8"/>
      <c r="K495" s="27"/>
      <c r="L495" s="8"/>
      <c r="M495" s="27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>
      <c r="A496" s="27"/>
      <c r="B496" s="27"/>
      <c r="C496" s="27"/>
      <c r="D496" s="27"/>
      <c r="E496" s="8"/>
      <c r="F496" s="8"/>
      <c r="G496" s="14"/>
      <c r="H496" s="8"/>
      <c r="I496" s="8"/>
      <c r="J496" s="8"/>
      <c r="K496" s="27"/>
      <c r="L496" s="8"/>
      <c r="M496" s="27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>
      <c r="A497" s="27"/>
      <c r="B497" s="27"/>
      <c r="C497" s="27"/>
      <c r="D497" s="27"/>
      <c r="E497" s="8"/>
      <c r="F497" s="8"/>
      <c r="G497" s="14"/>
      <c r="H497" s="8"/>
      <c r="I497" s="8"/>
      <c r="J497" s="8"/>
      <c r="K497" s="27"/>
      <c r="L497" s="8"/>
      <c r="M497" s="27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>
      <c r="A498" s="27"/>
      <c r="B498" s="27"/>
      <c r="C498" s="27"/>
      <c r="D498" s="27"/>
      <c r="E498" s="8"/>
      <c r="F498" s="8"/>
      <c r="G498" s="14"/>
      <c r="H498" s="8"/>
      <c r="I498" s="8"/>
      <c r="J498" s="8"/>
      <c r="K498" s="27"/>
      <c r="L498" s="8"/>
      <c r="M498" s="27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>
      <c r="A499" s="27"/>
      <c r="B499" s="27"/>
      <c r="C499" s="27"/>
      <c r="D499" s="27"/>
      <c r="E499" s="8"/>
      <c r="F499" s="8"/>
      <c r="G499" s="14"/>
      <c r="H499" s="8"/>
      <c r="I499" s="8"/>
      <c r="J499" s="8"/>
      <c r="K499" s="27"/>
      <c r="L499" s="8"/>
      <c r="M499" s="27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>
      <c r="A500" s="27"/>
      <c r="B500" s="27"/>
      <c r="C500" s="27"/>
      <c r="D500" s="27"/>
      <c r="E500" s="8"/>
      <c r="F500" s="8"/>
      <c r="G500" s="14"/>
      <c r="H500" s="8"/>
      <c r="I500" s="8"/>
      <c r="J500" s="8"/>
      <c r="K500" s="27"/>
      <c r="L500" s="8"/>
      <c r="M500" s="27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>
      <c r="A501" s="27"/>
      <c r="B501" s="27"/>
      <c r="C501" s="27"/>
      <c r="D501" s="27"/>
      <c r="E501" s="8"/>
      <c r="F501" s="8"/>
      <c r="G501" s="14"/>
      <c r="H501" s="8"/>
      <c r="I501" s="8"/>
      <c r="J501" s="8"/>
      <c r="K501" s="27"/>
      <c r="L501" s="8"/>
      <c r="M501" s="27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>
      <c r="A502" s="27"/>
      <c r="B502" s="27"/>
      <c r="C502" s="27"/>
      <c r="D502" s="27"/>
      <c r="E502" s="8"/>
      <c r="F502" s="8"/>
      <c r="G502" s="14"/>
      <c r="H502" s="8"/>
      <c r="I502" s="8"/>
      <c r="J502" s="8"/>
      <c r="K502" s="27"/>
      <c r="L502" s="8"/>
      <c r="M502" s="27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>
      <c r="A503" s="27"/>
      <c r="B503" s="27"/>
      <c r="C503" s="27"/>
      <c r="D503" s="27"/>
      <c r="E503" s="8"/>
      <c r="F503" s="8"/>
      <c r="G503" s="14"/>
      <c r="H503" s="8"/>
      <c r="I503" s="8"/>
      <c r="J503" s="8"/>
      <c r="K503" s="27"/>
      <c r="L503" s="8"/>
      <c r="M503" s="27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>
      <c r="A504" s="27"/>
      <c r="B504" s="27"/>
      <c r="C504" s="27"/>
      <c r="D504" s="27"/>
      <c r="E504" s="8"/>
      <c r="F504" s="8"/>
      <c r="G504" s="14"/>
      <c r="H504" s="8"/>
      <c r="I504" s="8"/>
      <c r="J504" s="8"/>
      <c r="K504" s="27"/>
      <c r="L504" s="8"/>
      <c r="M504" s="27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>
      <c r="A505" s="27"/>
      <c r="B505" s="27"/>
      <c r="C505" s="27"/>
      <c r="D505" s="27"/>
      <c r="E505" s="8"/>
      <c r="F505" s="8"/>
      <c r="G505" s="14"/>
      <c r="H505" s="8"/>
      <c r="I505" s="8"/>
      <c r="J505" s="8"/>
      <c r="K505" s="27"/>
      <c r="L505" s="8"/>
      <c r="M505" s="27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>
      <c r="A506" s="27"/>
      <c r="B506" s="27"/>
      <c r="C506" s="27"/>
      <c r="D506" s="27"/>
      <c r="E506" s="8"/>
      <c r="F506" s="8"/>
      <c r="G506" s="14"/>
      <c r="H506" s="8"/>
      <c r="I506" s="8"/>
      <c r="J506" s="8"/>
      <c r="K506" s="27"/>
      <c r="L506" s="8"/>
      <c r="M506" s="27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>
      <c r="A507" s="27"/>
      <c r="B507" s="27"/>
      <c r="C507" s="27"/>
      <c r="D507" s="27"/>
      <c r="E507" s="8"/>
      <c r="F507" s="8"/>
      <c r="G507" s="14"/>
      <c r="H507" s="8"/>
      <c r="I507" s="8"/>
      <c r="J507" s="8"/>
      <c r="K507" s="27"/>
      <c r="L507" s="8"/>
      <c r="M507" s="27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>
      <c r="A508" s="27"/>
      <c r="B508" s="27"/>
      <c r="C508" s="27"/>
      <c r="D508" s="27"/>
      <c r="E508" s="8"/>
      <c r="F508" s="8"/>
      <c r="G508" s="14"/>
      <c r="H508" s="8"/>
      <c r="I508" s="8"/>
      <c r="J508" s="8"/>
      <c r="K508" s="27"/>
      <c r="L508" s="8"/>
      <c r="M508" s="27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>
      <c r="A509" s="27"/>
      <c r="B509" s="27"/>
      <c r="C509" s="27"/>
      <c r="D509" s="27"/>
      <c r="E509" s="8"/>
      <c r="F509" s="8"/>
      <c r="G509" s="14"/>
      <c r="H509" s="8"/>
      <c r="I509" s="8"/>
      <c r="J509" s="8"/>
      <c r="K509" s="27"/>
      <c r="L509" s="8"/>
      <c r="M509" s="27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>
      <c r="A510" s="27"/>
      <c r="B510" s="27"/>
      <c r="C510" s="27"/>
      <c r="D510" s="27"/>
      <c r="E510" s="8"/>
      <c r="F510" s="8"/>
      <c r="G510" s="14"/>
      <c r="H510" s="8"/>
      <c r="I510" s="8"/>
      <c r="J510" s="8"/>
      <c r="K510" s="27"/>
      <c r="L510" s="8"/>
      <c r="M510" s="27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>
      <c r="A511" s="27"/>
      <c r="B511" s="27"/>
      <c r="C511" s="27"/>
      <c r="D511" s="27"/>
      <c r="E511" s="8"/>
      <c r="F511" s="8"/>
      <c r="G511" s="14"/>
      <c r="H511" s="8"/>
      <c r="I511" s="8"/>
      <c r="J511" s="8"/>
      <c r="K511" s="27"/>
      <c r="L511" s="8"/>
      <c r="M511" s="27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>
      <c r="A512" s="27"/>
      <c r="B512" s="27"/>
      <c r="C512" s="27"/>
      <c r="D512" s="27"/>
      <c r="E512" s="8"/>
      <c r="F512" s="8"/>
      <c r="G512" s="14"/>
      <c r="H512" s="8"/>
      <c r="I512" s="8"/>
      <c r="J512" s="8"/>
      <c r="K512" s="27"/>
      <c r="L512" s="8"/>
      <c r="M512" s="27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>
      <c r="A513" s="27"/>
      <c r="B513" s="27"/>
      <c r="C513" s="27"/>
      <c r="D513" s="27"/>
      <c r="E513" s="8"/>
      <c r="F513" s="8"/>
      <c r="G513" s="14"/>
      <c r="H513" s="8"/>
      <c r="I513" s="8"/>
      <c r="J513" s="8"/>
      <c r="K513" s="27"/>
      <c r="L513" s="8"/>
      <c r="M513" s="27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>
      <c r="A514" s="27"/>
      <c r="B514" s="27"/>
      <c r="C514" s="27"/>
      <c r="D514" s="27"/>
      <c r="E514" s="8"/>
      <c r="F514" s="8"/>
      <c r="G514" s="14"/>
      <c r="H514" s="8"/>
      <c r="I514" s="8"/>
      <c r="J514" s="8"/>
      <c r="K514" s="27"/>
      <c r="L514" s="8"/>
      <c r="M514" s="27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>
      <c r="A515" s="27"/>
      <c r="B515" s="27"/>
      <c r="C515" s="27"/>
      <c r="D515" s="27"/>
      <c r="E515" s="8"/>
      <c r="F515" s="8"/>
      <c r="G515" s="14"/>
      <c r="H515" s="8"/>
      <c r="I515" s="8"/>
      <c r="J515" s="8"/>
      <c r="K515" s="27"/>
      <c r="L515" s="8"/>
      <c r="M515" s="27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>
      <c r="A516" s="27"/>
      <c r="B516" s="27"/>
      <c r="C516" s="27"/>
      <c r="D516" s="27"/>
      <c r="E516" s="8"/>
      <c r="F516" s="8"/>
      <c r="G516" s="14"/>
      <c r="H516" s="8"/>
      <c r="I516" s="8"/>
      <c r="J516" s="8"/>
      <c r="K516" s="27"/>
      <c r="L516" s="8"/>
      <c r="M516" s="27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>
      <c r="A517" s="27"/>
      <c r="B517" s="27"/>
      <c r="C517" s="27"/>
      <c r="D517" s="27"/>
      <c r="E517" s="8"/>
      <c r="F517" s="8"/>
      <c r="G517" s="14"/>
      <c r="H517" s="8"/>
      <c r="I517" s="8"/>
      <c r="J517" s="8"/>
      <c r="K517" s="27"/>
      <c r="L517" s="8"/>
      <c r="M517" s="27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>
      <c r="A518" s="27"/>
      <c r="B518" s="27"/>
      <c r="C518" s="27"/>
      <c r="D518" s="27"/>
      <c r="E518" s="8"/>
      <c r="F518" s="8"/>
      <c r="G518" s="14"/>
      <c r="H518" s="8"/>
      <c r="I518" s="8"/>
      <c r="J518" s="8"/>
      <c r="K518" s="27"/>
      <c r="L518" s="8"/>
      <c r="M518" s="27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>
      <c r="A519" s="27"/>
      <c r="B519" s="27"/>
      <c r="C519" s="27"/>
      <c r="D519" s="27"/>
      <c r="E519" s="8"/>
      <c r="F519" s="8"/>
      <c r="G519" s="14"/>
      <c r="H519" s="8"/>
      <c r="I519" s="8"/>
      <c r="J519" s="8"/>
      <c r="K519" s="27"/>
      <c r="L519" s="8"/>
      <c r="M519" s="27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>
      <c r="A520" s="27"/>
      <c r="B520" s="27"/>
      <c r="C520" s="27"/>
      <c r="D520" s="27"/>
      <c r="E520" s="8"/>
      <c r="F520" s="8"/>
      <c r="G520" s="14"/>
      <c r="H520" s="8"/>
      <c r="I520" s="8"/>
      <c r="J520" s="8"/>
      <c r="K520" s="27"/>
      <c r="L520" s="8"/>
      <c r="M520" s="27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>
      <c r="A521" s="27"/>
      <c r="B521" s="27"/>
      <c r="C521" s="27"/>
      <c r="D521" s="27"/>
      <c r="E521" s="8"/>
      <c r="F521" s="8"/>
      <c r="G521" s="14"/>
      <c r="H521" s="8"/>
      <c r="I521" s="8"/>
      <c r="J521" s="8"/>
      <c r="K521" s="27"/>
      <c r="L521" s="8"/>
      <c r="M521" s="27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>
      <c r="A522" s="27"/>
      <c r="B522" s="27"/>
      <c r="C522" s="27"/>
      <c r="D522" s="27"/>
      <c r="E522" s="8"/>
      <c r="F522" s="8"/>
      <c r="G522" s="14"/>
      <c r="H522" s="8"/>
      <c r="I522" s="8"/>
      <c r="J522" s="8"/>
      <c r="K522" s="27"/>
      <c r="L522" s="8"/>
      <c r="M522" s="27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>
      <c r="A523" s="27"/>
      <c r="B523" s="27"/>
      <c r="C523" s="27"/>
      <c r="D523" s="27"/>
      <c r="E523" s="8"/>
      <c r="F523" s="8"/>
      <c r="G523" s="14"/>
      <c r="H523" s="8"/>
      <c r="I523" s="8"/>
      <c r="J523" s="8"/>
      <c r="K523" s="27"/>
      <c r="L523" s="8"/>
      <c r="M523" s="27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>
      <c r="A524" s="27"/>
      <c r="B524" s="27"/>
      <c r="C524" s="27"/>
      <c r="D524" s="27"/>
      <c r="E524" s="8"/>
      <c r="F524" s="8"/>
      <c r="G524" s="14"/>
      <c r="H524" s="8"/>
      <c r="I524" s="8"/>
      <c r="J524" s="8"/>
      <c r="K524" s="27"/>
      <c r="L524" s="8"/>
      <c r="M524" s="27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>
      <c r="A525" s="27"/>
      <c r="B525" s="27"/>
      <c r="C525" s="27"/>
      <c r="D525" s="27"/>
      <c r="E525" s="8"/>
      <c r="F525" s="8"/>
      <c r="G525" s="14"/>
      <c r="H525" s="8"/>
      <c r="I525" s="8"/>
      <c r="J525" s="8"/>
      <c r="K525" s="27"/>
      <c r="L525" s="8"/>
      <c r="M525" s="27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>
      <c r="A526" s="27"/>
      <c r="B526" s="27"/>
      <c r="C526" s="27"/>
      <c r="D526" s="27"/>
      <c r="E526" s="8"/>
      <c r="F526" s="8"/>
      <c r="G526" s="14"/>
      <c r="H526" s="8"/>
      <c r="I526" s="8"/>
      <c r="J526" s="8"/>
      <c r="K526" s="27"/>
      <c r="L526" s="8"/>
      <c r="M526" s="27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>
      <c r="A527" s="27"/>
      <c r="B527" s="27"/>
      <c r="C527" s="27"/>
      <c r="D527" s="27"/>
      <c r="E527" s="8"/>
      <c r="F527" s="8"/>
      <c r="G527" s="14"/>
      <c r="H527" s="8"/>
      <c r="I527" s="8"/>
      <c r="J527" s="8"/>
      <c r="K527" s="27"/>
      <c r="L527" s="8"/>
      <c r="M527" s="27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>
      <c r="A528" s="27"/>
      <c r="B528" s="27"/>
      <c r="C528" s="27"/>
      <c r="D528" s="27"/>
      <c r="E528" s="8"/>
      <c r="F528" s="8"/>
      <c r="G528" s="14"/>
      <c r="H528" s="8"/>
      <c r="I528" s="8"/>
      <c r="J528" s="8"/>
      <c r="K528" s="27"/>
      <c r="L528" s="8"/>
      <c r="M528" s="27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>
      <c r="A529" s="27"/>
      <c r="B529" s="27"/>
      <c r="C529" s="27"/>
      <c r="D529" s="27"/>
      <c r="E529" s="8"/>
      <c r="F529" s="8"/>
      <c r="G529" s="14"/>
      <c r="H529" s="8"/>
      <c r="I529" s="8"/>
      <c r="J529" s="8"/>
      <c r="K529" s="27"/>
      <c r="L529" s="8"/>
      <c r="M529" s="27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>
      <c r="A530" s="27"/>
      <c r="B530" s="27"/>
      <c r="C530" s="27"/>
      <c r="D530" s="27"/>
      <c r="E530" s="8"/>
      <c r="F530" s="8"/>
      <c r="G530" s="14"/>
      <c r="H530" s="8"/>
      <c r="I530" s="8"/>
      <c r="J530" s="8"/>
      <c r="K530" s="27"/>
      <c r="L530" s="8"/>
      <c r="M530" s="27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>
      <c r="A531" s="27"/>
      <c r="B531" s="27"/>
      <c r="C531" s="27"/>
      <c r="D531" s="27"/>
      <c r="E531" s="8"/>
      <c r="F531" s="8"/>
      <c r="G531" s="14"/>
      <c r="H531" s="8"/>
      <c r="I531" s="8"/>
      <c r="J531" s="8"/>
      <c r="K531" s="27"/>
      <c r="L531" s="8"/>
      <c r="M531" s="27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>
      <c r="A532" s="27"/>
      <c r="B532" s="27"/>
      <c r="C532" s="27"/>
      <c r="D532" s="27"/>
      <c r="E532" s="8"/>
      <c r="F532" s="8"/>
      <c r="G532" s="14"/>
      <c r="H532" s="8"/>
      <c r="I532" s="8"/>
      <c r="J532" s="8"/>
      <c r="K532" s="27"/>
      <c r="L532" s="8"/>
      <c r="M532" s="27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>
      <c r="A533" s="27"/>
      <c r="B533" s="27"/>
      <c r="C533" s="27"/>
      <c r="D533" s="27"/>
      <c r="E533" s="8"/>
      <c r="F533" s="8"/>
      <c r="G533" s="14"/>
      <c r="H533" s="8"/>
      <c r="I533" s="8"/>
      <c r="J533" s="8"/>
      <c r="K533" s="27"/>
      <c r="L533" s="8"/>
      <c r="M533" s="27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>
      <c r="A534" s="27"/>
      <c r="B534" s="27"/>
      <c r="C534" s="27"/>
      <c r="D534" s="27"/>
      <c r="E534" s="8"/>
      <c r="F534" s="8"/>
      <c r="G534" s="14"/>
      <c r="H534" s="8"/>
      <c r="I534" s="8"/>
      <c r="J534" s="8"/>
      <c r="K534" s="27"/>
      <c r="L534" s="8"/>
      <c r="M534" s="27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>
      <c r="A535" s="27"/>
      <c r="B535" s="27"/>
      <c r="C535" s="27"/>
      <c r="D535" s="27"/>
      <c r="E535" s="8"/>
      <c r="F535" s="8"/>
      <c r="G535" s="14"/>
      <c r="H535" s="8"/>
      <c r="I535" s="8"/>
      <c r="J535" s="8"/>
      <c r="K535" s="27"/>
      <c r="L535" s="8"/>
      <c r="M535" s="27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>
      <c r="A536" s="27"/>
      <c r="B536" s="27"/>
      <c r="C536" s="27"/>
      <c r="D536" s="27"/>
      <c r="E536" s="8"/>
      <c r="F536" s="8"/>
      <c r="G536" s="14"/>
      <c r="H536" s="8"/>
      <c r="I536" s="8"/>
      <c r="J536" s="8"/>
      <c r="K536" s="27"/>
      <c r="L536" s="8"/>
      <c r="M536" s="27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>
      <c r="A537" s="27"/>
      <c r="B537" s="27"/>
      <c r="C537" s="27"/>
      <c r="D537" s="27"/>
      <c r="E537" s="8"/>
      <c r="F537" s="8"/>
      <c r="G537" s="14"/>
      <c r="H537" s="8"/>
      <c r="I537" s="8"/>
      <c r="J537" s="8"/>
      <c r="K537" s="27"/>
      <c r="L537" s="8"/>
      <c r="M537" s="27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>
      <c r="A538" s="27"/>
      <c r="B538" s="27"/>
      <c r="C538" s="27"/>
      <c r="D538" s="27"/>
      <c r="E538" s="8"/>
      <c r="F538" s="8"/>
      <c r="G538" s="14"/>
      <c r="H538" s="8"/>
      <c r="I538" s="8"/>
      <c r="J538" s="8"/>
      <c r="K538" s="27"/>
      <c r="L538" s="8"/>
      <c r="M538" s="27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>
      <c r="A539" s="27"/>
      <c r="B539" s="27"/>
      <c r="C539" s="27"/>
      <c r="D539" s="27"/>
      <c r="E539" s="8"/>
      <c r="F539" s="8"/>
      <c r="G539" s="14"/>
      <c r="H539" s="8"/>
      <c r="I539" s="8"/>
      <c r="J539" s="8"/>
      <c r="K539" s="27"/>
      <c r="L539" s="8"/>
      <c r="M539" s="27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>
      <c r="A540" s="27"/>
      <c r="B540" s="27"/>
      <c r="C540" s="27"/>
      <c r="D540" s="27"/>
      <c r="E540" s="8"/>
      <c r="F540" s="8"/>
      <c r="G540" s="14"/>
      <c r="H540" s="8"/>
      <c r="I540" s="8"/>
      <c r="J540" s="8"/>
      <c r="K540" s="27"/>
      <c r="L540" s="8"/>
      <c r="M540" s="27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>
      <c r="A541" s="27"/>
      <c r="B541" s="27"/>
      <c r="C541" s="27"/>
      <c r="D541" s="27"/>
      <c r="E541" s="8"/>
      <c r="F541" s="8"/>
      <c r="G541" s="14"/>
      <c r="H541" s="8"/>
      <c r="I541" s="8"/>
      <c r="J541" s="8"/>
      <c r="K541" s="27"/>
      <c r="L541" s="8"/>
      <c r="M541" s="27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>
      <c r="A542" s="27"/>
      <c r="B542" s="27"/>
      <c r="C542" s="27"/>
      <c r="D542" s="27"/>
      <c r="E542" s="8"/>
      <c r="F542" s="8"/>
      <c r="G542" s="14"/>
      <c r="H542" s="8"/>
      <c r="I542" s="8"/>
      <c r="J542" s="8"/>
      <c r="K542" s="27"/>
      <c r="L542" s="8"/>
      <c r="M542" s="27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>
      <c r="A543" s="27"/>
      <c r="B543" s="27"/>
      <c r="C543" s="27"/>
      <c r="D543" s="27"/>
      <c r="E543" s="8"/>
      <c r="F543" s="8"/>
      <c r="G543" s="14"/>
      <c r="H543" s="8"/>
      <c r="I543" s="8"/>
      <c r="J543" s="8"/>
      <c r="K543" s="27"/>
      <c r="L543" s="8"/>
      <c r="M543" s="27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>
      <c r="A544" s="27"/>
      <c r="B544" s="27"/>
      <c r="C544" s="27"/>
      <c r="D544" s="27"/>
      <c r="E544" s="8"/>
      <c r="F544" s="8"/>
      <c r="G544" s="14"/>
      <c r="H544" s="8"/>
      <c r="I544" s="8"/>
      <c r="J544" s="8"/>
      <c r="K544" s="27"/>
      <c r="L544" s="8"/>
      <c r="M544" s="27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>
      <c r="A545" s="27"/>
      <c r="B545" s="27"/>
      <c r="C545" s="27"/>
      <c r="D545" s="27"/>
      <c r="E545" s="8"/>
      <c r="F545" s="8"/>
      <c r="G545" s="14"/>
      <c r="H545" s="8"/>
      <c r="I545" s="8"/>
      <c r="J545" s="8"/>
      <c r="K545" s="27"/>
      <c r="L545" s="8"/>
      <c r="M545" s="27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>
      <c r="A546" s="27"/>
      <c r="B546" s="27"/>
      <c r="C546" s="27"/>
      <c r="D546" s="27"/>
      <c r="E546" s="8"/>
      <c r="F546" s="8"/>
      <c r="G546" s="14"/>
      <c r="H546" s="8"/>
      <c r="I546" s="8"/>
      <c r="J546" s="8"/>
      <c r="K546" s="27"/>
      <c r="L546" s="8"/>
      <c r="M546" s="27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>
      <c r="A547" s="27"/>
      <c r="B547" s="27"/>
      <c r="C547" s="27"/>
      <c r="D547" s="27"/>
      <c r="E547" s="8"/>
      <c r="F547" s="8"/>
      <c r="G547" s="14"/>
      <c r="H547" s="8"/>
      <c r="I547" s="8"/>
      <c r="J547" s="8"/>
      <c r="K547" s="27"/>
      <c r="L547" s="8"/>
      <c r="M547" s="27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>
      <c r="A548" s="27"/>
      <c r="B548" s="27"/>
      <c r="C548" s="27"/>
      <c r="D548" s="27"/>
      <c r="E548" s="8"/>
      <c r="F548" s="8"/>
      <c r="G548" s="14"/>
      <c r="H548" s="8"/>
      <c r="I548" s="8"/>
      <c r="J548" s="8"/>
      <c r="K548" s="27"/>
      <c r="L548" s="8"/>
      <c r="M548" s="27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>
      <c r="A549" s="27"/>
      <c r="B549" s="27"/>
      <c r="C549" s="27"/>
      <c r="D549" s="27"/>
      <c r="E549" s="8"/>
      <c r="F549" s="8"/>
      <c r="G549" s="14"/>
      <c r="H549" s="8"/>
      <c r="I549" s="8"/>
      <c r="J549" s="8"/>
      <c r="K549" s="27"/>
      <c r="L549" s="8"/>
      <c r="M549" s="27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>
      <c r="A550" s="27"/>
      <c r="B550" s="27"/>
      <c r="C550" s="27"/>
      <c r="D550" s="27"/>
      <c r="E550" s="8"/>
      <c r="F550" s="8"/>
      <c r="G550" s="14"/>
      <c r="H550" s="8"/>
      <c r="I550" s="8"/>
      <c r="J550" s="8"/>
      <c r="K550" s="27"/>
      <c r="L550" s="8"/>
      <c r="M550" s="27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>
      <c r="A551" s="27"/>
      <c r="B551" s="27"/>
      <c r="C551" s="27"/>
      <c r="D551" s="27"/>
      <c r="E551" s="8"/>
      <c r="F551" s="8"/>
      <c r="G551" s="14"/>
      <c r="H551" s="8"/>
      <c r="I551" s="8"/>
      <c r="J551" s="8"/>
      <c r="K551" s="27"/>
      <c r="L551" s="8"/>
      <c r="M551" s="27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>
      <c r="A552" s="27"/>
      <c r="B552" s="27"/>
      <c r="C552" s="27"/>
      <c r="D552" s="27"/>
      <c r="E552" s="8"/>
      <c r="F552" s="8"/>
      <c r="G552" s="14"/>
      <c r="H552" s="8"/>
      <c r="I552" s="8"/>
      <c r="J552" s="8"/>
      <c r="K552" s="27"/>
      <c r="L552" s="8"/>
      <c r="M552" s="27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>
      <c r="A553" s="27"/>
      <c r="B553" s="27"/>
      <c r="C553" s="27"/>
      <c r="D553" s="27"/>
      <c r="E553" s="8"/>
      <c r="F553" s="8"/>
      <c r="G553" s="14"/>
      <c r="H553" s="8"/>
      <c r="I553" s="8"/>
      <c r="J553" s="8"/>
      <c r="K553" s="27"/>
      <c r="L553" s="8"/>
      <c r="M553" s="27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>
      <c r="A554" s="27"/>
      <c r="B554" s="27"/>
      <c r="C554" s="27"/>
      <c r="D554" s="27"/>
      <c r="E554" s="8"/>
      <c r="F554" s="8"/>
      <c r="G554" s="14"/>
      <c r="H554" s="8"/>
      <c r="I554" s="8"/>
      <c r="J554" s="8"/>
      <c r="K554" s="27"/>
      <c r="L554" s="8"/>
      <c r="M554" s="27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>
      <c r="A555" s="27"/>
      <c r="B555" s="27"/>
      <c r="C555" s="27"/>
      <c r="D555" s="27"/>
      <c r="E555" s="8"/>
      <c r="F555" s="8"/>
      <c r="G555" s="14"/>
      <c r="H555" s="8"/>
      <c r="I555" s="8"/>
      <c r="J555" s="8"/>
      <c r="K555" s="27"/>
      <c r="L555" s="8"/>
      <c r="M555" s="27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>
      <c r="A556" s="27"/>
      <c r="B556" s="27"/>
      <c r="C556" s="27"/>
      <c r="D556" s="27"/>
      <c r="E556" s="8"/>
      <c r="F556" s="8"/>
      <c r="G556" s="14"/>
      <c r="H556" s="8"/>
      <c r="I556" s="8"/>
      <c r="J556" s="8"/>
      <c r="K556" s="27"/>
      <c r="L556" s="8"/>
      <c r="M556" s="27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>
      <c r="A557" s="27"/>
      <c r="B557" s="27"/>
      <c r="C557" s="27"/>
      <c r="D557" s="27"/>
      <c r="E557" s="8"/>
      <c r="F557" s="8"/>
      <c r="G557" s="14"/>
      <c r="H557" s="8"/>
      <c r="I557" s="8"/>
      <c r="J557" s="8"/>
      <c r="K557" s="27"/>
      <c r="L557" s="8"/>
      <c r="M557" s="27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>
      <c r="A558" s="27"/>
      <c r="B558" s="27"/>
      <c r="C558" s="27"/>
      <c r="D558" s="27"/>
      <c r="E558" s="8"/>
      <c r="F558" s="8"/>
      <c r="G558" s="14"/>
      <c r="H558" s="8"/>
      <c r="I558" s="8"/>
      <c r="J558" s="8"/>
      <c r="K558" s="27"/>
      <c r="L558" s="8"/>
      <c r="M558" s="27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>
      <c r="A559" s="27"/>
      <c r="B559" s="27"/>
      <c r="C559" s="27"/>
      <c r="D559" s="27"/>
      <c r="E559" s="8"/>
      <c r="F559" s="8"/>
      <c r="G559" s="14"/>
      <c r="H559" s="8"/>
      <c r="I559" s="8"/>
      <c r="J559" s="8"/>
      <c r="K559" s="27"/>
      <c r="L559" s="8"/>
      <c r="M559" s="27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>
      <c r="A560" s="27"/>
      <c r="B560" s="27"/>
      <c r="C560" s="27"/>
      <c r="D560" s="27"/>
      <c r="E560" s="8"/>
      <c r="F560" s="8"/>
      <c r="G560" s="14"/>
      <c r="H560" s="8"/>
      <c r="I560" s="8"/>
      <c r="J560" s="8"/>
      <c r="K560" s="27"/>
      <c r="L560" s="8"/>
      <c r="M560" s="27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>
      <c r="A561" s="27"/>
      <c r="B561" s="27"/>
      <c r="C561" s="27"/>
      <c r="D561" s="27"/>
      <c r="E561" s="8"/>
      <c r="F561" s="8"/>
      <c r="G561" s="14"/>
      <c r="H561" s="8"/>
      <c r="I561" s="8"/>
      <c r="J561" s="8"/>
      <c r="K561" s="27"/>
      <c r="L561" s="8"/>
      <c r="M561" s="27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>
      <c r="A562" s="27"/>
      <c r="B562" s="27"/>
      <c r="C562" s="27"/>
      <c r="D562" s="27"/>
      <c r="E562" s="8"/>
      <c r="F562" s="8"/>
      <c r="G562" s="14"/>
      <c r="H562" s="8"/>
      <c r="I562" s="8"/>
      <c r="J562" s="8"/>
      <c r="K562" s="27"/>
      <c r="L562" s="8"/>
      <c r="M562" s="27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>
      <c r="A563" s="27"/>
      <c r="B563" s="27"/>
      <c r="C563" s="27"/>
      <c r="D563" s="27"/>
      <c r="E563" s="8"/>
      <c r="F563" s="8"/>
      <c r="G563" s="14"/>
      <c r="H563" s="8"/>
      <c r="I563" s="8"/>
      <c r="J563" s="8"/>
      <c r="K563" s="27"/>
      <c r="L563" s="8"/>
      <c r="M563" s="27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>
      <c r="A564" s="27"/>
      <c r="B564" s="27"/>
      <c r="C564" s="27"/>
      <c r="D564" s="27"/>
      <c r="E564" s="8"/>
      <c r="F564" s="8"/>
      <c r="G564" s="14"/>
      <c r="H564" s="8"/>
      <c r="I564" s="8"/>
      <c r="J564" s="8"/>
      <c r="K564" s="27"/>
      <c r="L564" s="8"/>
      <c r="M564" s="27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>
      <c r="A565" s="27"/>
      <c r="B565" s="27"/>
      <c r="C565" s="27"/>
      <c r="D565" s="27"/>
      <c r="E565" s="8"/>
      <c r="F565" s="8"/>
      <c r="G565" s="14"/>
      <c r="H565" s="8"/>
      <c r="I565" s="8"/>
      <c r="J565" s="8"/>
      <c r="K565" s="27"/>
      <c r="L565" s="8"/>
      <c r="M565" s="27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>
      <c r="A566" s="27"/>
      <c r="B566" s="27"/>
      <c r="C566" s="27"/>
      <c r="D566" s="27"/>
      <c r="E566" s="8"/>
      <c r="F566" s="8"/>
      <c r="G566" s="14"/>
      <c r="H566" s="8"/>
      <c r="I566" s="8"/>
      <c r="J566" s="8"/>
      <c r="K566" s="27"/>
      <c r="L566" s="8"/>
      <c r="M566" s="27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>
      <c r="A567" s="27"/>
      <c r="B567" s="27"/>
      <c r="C567" s="27"/>
      <c r="D567" s="27"/>
      <c r="E567" s="8"/>
      <c r="F567" s="8"/>
      <c r="G567" s="14"/>
      <c r="H567" s="8"/>
      <c r="I567" s="8"/>
      <c r="J567" s="8"/>
      <c r="K567" s="27"/>
      <c r="L567" s="8"/>
      <c r="M567" s="27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>
      <c r="A568" s="27"/>
      <c r="B568" s="27"/>
      <c r="C568" s="27"/>
      <c r="D568" s="27"/>
      <c r="E568" s="8"/>
      <c r="F568" s="8"/>
      <c r="G568" s="14"/>
      <c r="H568" s="8"/>
      <c r="I568" s="8"/>
      <c r="J568" s="8"/>
      <c r="K568" s="27"/>
      <c r="L568" s="8"/>
      <c r="M568" s="27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>
      <c r="A569" s="27"/>
      <c r="B569" s="27"/>
      <c r="C569" s="27"/>
      <c r="D569" s="27"/>
      <c r="E569" s="8"/>
      <c r="F569" s="8"/>
      <c r="G569" s="14"/>
      <c r="H569" s="8"/>
      <c r="I569" s="8"/>
      <c r="J569" s="8"/>
      <c r="K569" s="27"/>
      <c r="L569" s="8"/>
      <c r="M569" s="27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>
      <c r="A570" s="27"/>
      <c r="B570" s="27"/>
      <c r="C570" s="27"/>
      <c r="D570" s="27"/>
      <c r="E570" s="8"/>
      <c r="F570" s="8"/>
      <c r="G570" s="14"/>
      <c r="H570" s="8"/>
      <c r="I570" s="8"/>
      <c r="J570" s="8"/>
      <c r="K570" s="27"/>
      <c r="L570" s="8"/>
      <c r="M570" s="27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>
      <c r="A571" s="27"/>
      <c r="B571" s="27"/>
      <c r="C571" s="27"/>
      <c r="D571" s="27"/>
      <c r="E571" s="8"/>
      <c r="F571" s="8"/>
      <c r="G571" s="14"/>
      <c r="H571" s="8"/>
      <c r="I571" s="8"/>
      <c r="J571" s="8"/>
      <c r="K571" s="27"/>
      <c r="L571" s="8"/>
      <c r="M571" s="27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>
      <c r="A572" s="27"/>
      <c r="B572" s="27"/>
      <c r="C572" s="27"/>
      <c r="D572" s="27"/>
      <c r="E572" s="8"/>
      <c r="F572" s="8"/>
      <c r="G572" s="14"/>
      <c r="H572" s="8"/>
      <c r="I572" s="8"/>
      <c r="J572" s="8"/>
      <c r="K572" s="27"/>
      <c r="L572" s="8"/>
      <c r="M572" s="27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>
      <c r="A573" s="27"/>
      <c r="B573" s="27"/>
      <c r="C573" s="27"/>
      <c r="D573" s="27"/>
      <c r="E573" s="8"/>
      <c r="F573" s="8"/>
      <c r="G573" s="14"/>
      <c r="H573" s="8"/>
      <c r="I573" s="8"/>
      <c r="J573" s="8"/>
      <c r="K573" s="27"/>
      <c r="L573" s="8"/>
      <c r="M573" s="27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>
      <c r="A574" s="27"/>
      <c r="B574" s="27"/>
      <c r="C574" s="27"/>
      <c r="D574" s="27"/>
      <c r="E574" s="8"/>
      <c r="F574" s="8"/>
      <c r="G574" s="14"/>
      <c r="H574" s="8"/>
      <c r="I574" s="8"/>
      <c r="J574" s="8"/>
      <c r="K574" s="27"/>
      <c r="L574" s="8"/>
      <c r="M574" s="27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>
      <c r="A575" s="27"/>
      <c r="B575" s="27"/>
      <c r="C575" s="27"/>
      <c r="D575" s="27"/>
      <c r="E575" s="8"/>
      <c r="F575" s="8"/>
      <c r="G575" s="14"/>
      <c r="H575" s="8"/>
      <c r="I575" s="8"/>
      <c r="J575" s="8"/>
      <c r="K575" s="27"/>
      <c r="L575" s="8"/>
      <c r="M575" s="27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>
      <c r="A576" s="27"/>
      <c r="B576" s="27"/>
      <c r="C576" s="27"/>
      <c r="D576" s="27"/>
      <c r="E576" s="8"/>
      <c r="F576" s="8"/>
      <c r="G576" s="14"/>
      <c r="H576" s="8"/>
      <c r="I576" s="8"/>
      <c r="J576" s="8"/>
      <c r="K576" s="27"/>
      <c r="L576" s="8"/>
      <c r="M576" s="27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>
      <c r="A577" s="27"/>
      <c r="B577" s="27"/>
      <c r="C577" s="27"/>
      <c r="D577" s="27"/>
      <c r="E577" s="8"/>
      <c r="F577" s="8"/>
      <c r="G577" s="14"/>
      <c r="H577" s="8"/>
      <c r="I577" s="8"/>
      <c r="J577" s="8"/>
      <c r="K577" s="27"/>
      <c r="L577" s="8"/>
      <c r="M577" s="27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>
      <c r="A578" s="27"/>
      <c r="B578" s="27"/>
      <c r="C578" s="27"/>
      <c r="D578" s="27"/>
      <c r="E578" s="8"/>
      <c r="F578" s="8"/>
      <c r="G578" s="14"/>
      <c r="H578" s="8"/>
      <c r="I578" s="8"/>
      <c r="J578" s="8"/>
      <c r="K578" s="27"/>
      <c r="L578" s="8"/>
      <c r="M578" s="27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>
      <c r="A579" s="27"/>
      <c r="B579" s="27"/>
      <c r="C579" s="27"/>
      <c r="D579" s="27"/>
      <c r="E579" s="8"/>
      <c r="F579" s="8"/>
      <c r="G579" s="14"/>
      <c r="H579" s="8"/>
      <c r="I579" s="8"/>
      <c r="J579" s="8"/>
      <c r="K579" s="27"/>
      <c r="L579" s="8"/>
      <c r="M579" s="27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>
      <c r="A580" s="27"/>
      <c r="B580" s="27"/>
      <c r="C580" s="27"/>
      <c r="D580" s="27"/>
      <c r="E580" s="8"/>
      <c r="F580" s="8"/>
      <c r="G580" s="14"/>
      <c r="H580" s="8"/>
      <c r="I580" s="8"/>
      <c r="J580" s="8"/>
      <c r="K580" s="27"/>
      <c r="L580" s="8"/>
      <c r="M580" s="27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>
      <c r="A581" s="27"/>
      <c r="B581" s="27"/>
      <c r="C581" s="27"/>
      <c r="D581" s="27"/>
      <c r="E581" s="8"/>
      <c r="F581" s="8"/>
      <c r="G581" s="14"/>
      <c r="H581" s="8"/>
      <c r="I581" s="8"/>
      <c r="J581" s="8"/>
      <c r="K581" s="27"/>
      <c r="L581" s="8"/>
      <c r="M581" s="27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>
      <c r="A582" s="27"/>
      <c r="B582" s="27"/>
      <c r="C582" s="27"/>
      <c r="D582" s="27"/>
      <c r="E582" s="8"/>
      <c r="F582" s="8"/>
      <c r="G582" s="14"/>
      <c r="H582" s="8"/>
      <c r="I582" s="8"/>
      <c r="J582" s="8"/>
      <c r="K582" s="27"/>
      <c r="L582" s="8"/>
      <c r="M582" s="27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>
      <c r="A583" s="27"/>
      <c r="B583" s="27"/>
      <c r="C583" s="27"/>
      <c r="D583" s="27"/>
      <c r="E583" s="8"/>
      <c r="F583" s="8"/>
      <c r="G583" s="14"/>
      <c r="H583" s="8"/>
      <c r="I583" s="8"/>
      <c r="J583" s="8"/>
      <c r="K583" s="27"/>
      <c r="L583" s="8"/>
      <c r="M583" s="27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>
      <c r="A584" s="27"/>
      <c r="B584" s="27"/>
      <c r="C584" s="27"/>
      <c r="D584" s="27"/>
      <c r="E584" s="8"/>
      <c r="F584" s="8"/>
      <c r="G584" s="14"/>
      <c r="H584" s="8"/>
      <c r="I584" s="8"/>
      <c r="J584" s="8"/>
      <c r="K584" s="27"/>
      <c r="L584" s="8"/>
      <c r="M584" s="27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>
      <c r="A585" s="27"/>
      <c r="B585" s="27"/>
      <c r="C585" s="27"/>
      <c r="D585" s="27"/>
      <c r="E585" s="8"/>
      <c r="F585" s="8"/>
      <c r="G585" s="14"/>
      <c r="H585" s="8"/>
      <c r="I585" s="8"/>
      <c r="J585" s="8"/>
      <c r="K585" s="27"/>
      <c r="L585" s="8"/>
      <c r="M585" s="27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>
      <c r="A586" s="27"/>
      <c r="B586" s="27"/>
      <c r="C586" s="27"/>
      <c r="D586" s="27"/>
      <c r="E586" s="8"/>
      <c r="F586" s="8"/>
      <c r="G586" s="14"/>
      <c r="H586" s="8"/>
      <c r="I586" s="8"/>
      <c r="J586" s="8"/>
      <c r="K586" s="27"/>
      <c r="L586" s="8"/>
      <c r="M586" s="27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>
      <c r="A587" s="27"/>
      <c r="B587" s="27"/>
      <c r="C587" s="27"/>
      <c r="D587" s="27"/>
      <c r="E587" s="8"/>
      <c r="F587" s="8"/>
      <c r="G587" s="14"/>
      <c r="H587" s="8"/>
      <c r="I587" s="8"/>
      <c r="J587" s="8"/>
      <c r="K587" s="27"/>
      <c r="L587" s="8"/>
      <c r="M587" s="27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>
      <c r="A588" s="27"/>
      <c r="B588" s="27"/>
      <c r="C588" s="27"/>
      <c r="D588" s="27"/>
      <c r="E588" s="8"/>
      <c r="F588" s="8"/>
      <c r="G588" s="14"/>
      <c r="H588" s="8"/>
      <c r="I588" s="8"/>
      <c r="J588" s="8"/>
      <c r="K588" s="27"/>
      <c r="L588" s="8"/>
      <c r="M588" s="27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>
      <c r="A589" s="27"/>
      <c r="B589" s="27"/>
      <c r="C589" s="27"/>
      <c r="D589" s="27"/>
      <c r="E589" s="8"/>
      <c r="F589" s="8"/>
      <c r="G589" s="14"/>
      <c r="H589" s="8"/>
      <c r="I589" s="8"/>
      <c r="J589" s="8"/>
      <c r="K589" s="27"/>
      <c r="L589" s="8"/>
      <c r="M589" s="27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>
      <c r="A590" s="27"/>
      <c r="B590" s="27"/>
      <c r="C590" s="27"/>
      <c r="D590" s="27"/>
      <c r="E590" s="8"/>
      <c r="F590" s="8"/>
      <c r="G590" s="14"/>
      <c r="H590" s="8"/>
      <c r="I590" s="8"/>
      <c r="J590" s="8"/>
      <c r="K590" s="27"/>
      <c r="L590" s="8"/>
      <c r="M590" s="27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>
      <c r="A591" s="27"/>
      <c r="B591" s="27"/>
      <c r="C591" s="27"/>
      <c r="D591" s="27"/>
      <c r="E591" s="8"/>
      <c r="F591" s="8"/>
      <c r="G591" s="14"/>
      <c r="H591" s="8"/>
      <c r="I591" s="8"/>
      <c r="J591" s="8"/>
      <c r="K591" s="27"/>
      <c r="L591" s="8"/>
      <c r="M591" s="27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>
      <c r="A592" s="27"/>
      <c r="B592" s="27"/>
      <c r="C592" s="27"/>
      <c r="D592" s="27"/>
      <c r="E592" s="8"/>
      <c r="F592" s="8"/>
      <c r="G592" s="14"/>
      <c r="H592" s="8"/>
      <c r="I592" s="8"/>
      <c r="J592" s="8"/>
      <c r="K592" s="27"/>
      <c r="L592" s="8"/>
      <c r="M592" s="27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>
      <c r="A593" s="27"/>
      <c r="B593" s="27"/>
      <c r="C593" s="27"/>
      <c r="D593" s="27"/>
      <c r="E593" s="8"/>
      <c r="F593" s="8"/>
      <c r="G593" s="14"/>
      <c r="H593" s="8"/>
      <c r="I593" s="8"/>
      <c r="J593" s="8"/>
      <c r="K593" s="27"/>
      <c r="L593" s="8"/>
      <c r="M593" s="27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>
      <c r="A594" s="27"/>
      <c r="B594" s="27"/>
      <c r="C594" s="27"/>
      <c r="D594" s="27"/>
      <c r="E594" s="8"/>
      <c r="F594" s="8"/>
      <c r="G594" s="14"/>
      <c r="H594" s="8"/>
      <c r="I594" s="8"/>
      <c r="J594" s="8"/>
      <c r="K594" s="27"/>
      <c r="L594" s="8"/>
      <c r="M594" s="27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>
      <c r="A595" s="27"/>
      <c r="B595" s="27"/>
      <c r="C595" s="27"/>
      <c r="D595" s="27"/>
      <c r="E595" s="8"/>
      <c r="F595" s="8"/>
      <c r="G595" s="14"/>
      <c r="H595" s="8"/>
      <c r="I595" s="8"/>
      <c r="J595" s="8"/>
      <c r="K595" s="27"/>
      <c r="L595" s="8"/>
      <c r="M595" s="27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>
      <c r="A596" s="27"/>
      <c r="B596" s="27"/>
      <c r="C596" s="27"/>
      <c r="D596" s="27"/>
      <c r="E596" s="8"/>
      <c r="F596" s="8"/>
      <c r="G596" s="14"/>
      <c r="H596" s="8"/>
      <c r="I596" s="8"/>
      <c r="J596" s="8"/>
      <c r="K596" s="27"/>
      <c r="L596" s="8"/>
      <c r="M596" s="27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>
      <c r="A597" s="27"/>
      <c r="B597" s="27"/>
      <c r="C597" s="27"/>
      <c r="D597" s="27"/>
      <c r="E597" s="8"/>
      <c r="F597" s="8"/>
      <c r="G597" s="14"/>
      <c r="H597" s="8"/>
      <c r="I597" s="8"/>
      <c r="J597" s="8"/>
      <c r="K597" s="27"/>
      <c r="L597" s="8"/>
      <c r="M597" s="27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>
      <c r="A598" s="27"/>
      <c r="B598" s="27"/>
      <c r="C598" s="27"/>
      <c r="D598" s="27"/>
      <c r="E598" s="8"/>
      <c r="F598" s="8"/>
      <c r="G598" s="14"/>
      <c r="H598" s="8"/>
      <c r="I598" s="8"/>
      <c r="J598" s="8"/>
      <c r="K598" s="27"/>
      <c r="L598" s="8"/>
      <c r="M598" s="27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>
      <c r="A599" s="27"/>
      <c r="B599" s="27"/>
      <c r="C599" s="27"/>
      <c r="D599" s="27"/>
      <c r="E599" s="8"/>
      <c r="F599" s="8"/>
      <c r="G599" s="14"/>
      <c r="H599" s="8"/>
      <c r="I599" s="8"/>
      <c r="J599" s="8"/>
      <c r="K599" s="27"/>
      <c r="L599" s="8"/>
      <c r="M599" s="27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>
      <c r="A600" s="27"/>
      <c r="B600" s="27"/>
      <c r="C600" s="27"/>
      <c r="D600" s="27"/>
      <c r="E600" s="8"/>
      <c r="F600" s="8"/>
      <c r="G600" s="14"/>
      <c r="H600" s="8"/>
      <c r="I600" s="8"/>
      <c r="J600" s="8"/>
      <c r="K600" s="27"/>
      <c r="L600" s="8"/>
      <c r="M600" s="27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>
      <c r="A601" s="27"/>
      <c r="B601" s="27"/>
      <c r="C601" s="27"/>
      <c r="D601" s="27"/>
      <c r="E601" s="8"/>
      <c r="F601" s="8"/>
      <c r="G601" s="14"/>
      <c r="H601" s="8"/>
      <c r="I601" s="8"/>
      <c r="J601" s="8"/>
      <c r="K601" s="27"/>
      <c r="L601" s="8"/>
      <c r="M601" s="27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>
      <c r="A602" s="27"/>
      <c r="B602" s="27"/>
      <c r="C602" s="27"/>
      <c r="D602" s="27"/>
      <c r="E602" s="8"/>
      <c r="F602" s="8"/>
      <c r="G602" s="14"/>
      <c r="H602" s="8"/>
      <c r="I602" s="8"/>
      <c r="J602" s="8"/>
      <c r="K602" s="27"/>
      <c r="L602" s="8"/>
      <c r="M602" s="27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>
      <c r="A603" s="27"/>
      <c r="B603" s="27"/>
      <c r="C603" s="27"/>
      <c r="D603" s="27"/>
      <c r="E603" s="8"/>
      <c r="F603" s="8"/>
      <c r="G603" s="14"/>
      <c r="H603" s="8"/>
      <c r="I603" s="8"/>
      <c r="J603" s="8"/>
      <c r="K603" s="27"/>
      <c r="L603" s="8"/>
      <c r="M603" s="27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>
      <c r="A604" s="27"/>
      <c r="B604" s="27"/>
      <c r="C604" s="27"/>
      <c r="D604" s="27"/>
      <c r="E604" s="8"/>
      <c r="F604" s="8"/>
      <c r="G604" s="14"/>
      <c r="H604" s="8"/>
      <c r="I604" s="8"/>
      <c r="J604" s="8"/>
      <c r="K604" s="27"/>
      <c r="L604" s="8"/>
      <c r="M604" s="27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>
      <c r="A605" s="27"/>
      <c r="B605" s="27"/>
      <c r="C605" s="27"/>
      <c r="D605" s="27"/>
      <c r="E605" s="8"/>
      <c r="F605" s="8"/>
      <c r="G605" s="14"/>
      <c r="H605" s="8"/>
      <c r="I605" s="8"/>
      <c r="J605" s="8"/>
      <c r="K605" s="27"/>
      <c r="L605" s="8"/>
      <c r="M605" s="27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>
      <c r="A606" s="27"/>
      <c r="B606" s="27"/>
      <c r="C606" s="27"/>
      <c r="D606" s="27"/>
      <c r="E606" s="8"/>
      <c r="F606" s="8"/>
      <c r="G606" s="14"/>
      <c r="H606" s="8"/>
      <c r="I606" s="8"/>
      <c r="J606" s="8"/>
      <c r="K606" s="27"/>
      <c r="L606" s="8"/>
      <c r="M606" s="27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>
      <c r="A607" s="27"/>
      <c r="B607" s="27"/>
      <c r="C607" s="27"/>
      <c r="D607" s="27"/>
      <c r="E607" s="8"/>
      <c r="F607" s="8"/>
      <c r="G607" s="14"/>
      <c r="H607" s="8"/>
      <c r="I607" s="8"/>
      <c r="J607" s="8"/>
      <c r="K607" s="27"/>
      <c r="L607" s="8"/>
      <c r="M607" s="27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>
      <c r="A608" s="27"/>
      <c r="B608" s="27"/>
      <c r="C608" s="27"/>
      <c r="D608" s="27"/>
      <c r="E608" s="8"/>
      <c r="F608" s="8"/>
      <c r="G608" s="14"/>
      <c r="H608" s="8"/>
      <c r="I608" s="8"/>
      <c r="J608" s="8"/>
      <c r="K608" s="27"/>
      <c r="L608" s="8"/>
      <c r="M608" s="27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>
      <c r="A609" s="27"/>
      <c r="B609" s="27"/>
      <c r="C609" s="27"/>
      <c r="D609" s="27"/>
      <c r="E609" s="8"/>
      <c r="F609" s="8"/>
      <c r="G609" s="14"/>
      <c r="H609" s="8"/>
      <c r="I609" s="8"/>
      <c r="J609" s="8"/>
      <c r="K609" s="27"/>
      <c r="L609" s="8"/>
      <c r="M609" s="27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>
      <c r="A610" s="27"/>
      <c r="B610" s="27"/>
      <c r="C610" s="27"/>
      <c r="D610" s="27"/>
      <c r="E610" s="8"/>
      <c r="F610" s="8"/>
      <c r="G610" s="14"/>
      <c r="H610" s="8"/>
      <c r="I610" s="8"/>
      <c r="J610" s="8"/>
      <c r="K610" s="27"/>
      <c r="L610" s="8"/>
      <c r="M610" s="27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>
      <c r="A611" s="27"/>
      <c r="B611" s="27"/>
      <c r="C611" s="27"/>
      <c r="D611" s="27"/>
      <c r="E611" s="8"/>
      <c r="F611" s="8"/>
      <c r="G611" s="14"/>
      <c r="H611" s="8"/>
      <c r="I611" s="8"/>
      <c r="J611" s="8"/>
      <c r="K611" s="27"/>
      <c r="L611" s="8"/>
      <c r="M611" s="27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>
      <c r="A612" s="27"/>
      <c r="B612" s="27"/>
      <c r="C612" s="27"/>
      <c r="D612" s="27"/>
      <c r="E612" s="8"/>
      <c r="F612" s="8"/>
      <c r="G612" s="14"/>
      <c r="H612" s="8"/>
      <c r="I612" s="8"/>
      <c r="J612" s="8"/>
      <c r="K612" s="27"/>
      <c r="L612" s="8"/>
      <c r="M612" s="27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>
      <c r="A613" s="27"/>
      <c r="B613" s="27"/>
      <c r="C613" s="27"/>
      <c r="D613" s="27"/>
      <c r="E613" s="8"/>
      <c r="F613" s="8"/>
      <c r="G613" s="14"/>
      <c r="H613" s="8"/>
      <c r="I613" s="8"/>
      <c r="J613" s="8"/>
      <c r="K613" s="27"/>
      <c r="L613" s="8"/>
      <c r="M613" s="27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>
      <c r="A614" s="27"/>
      <c r="B614" s="27"/>
      <c r="C614" s="27"/>
      <c r="D614" s="27"/>
      <c r="E614" s="8"/>
      <c r="F614" s="8"/>
      <c r="G614" s="14"/>
      <c r="H614" s="8"/>
      <c r="I614" s="8"/>
      <c r="J614" s="8"/>
      <c r="K614" s="27"/>
      <c r="L614" s="8"/>
      <c r="M614" s="27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>
      <c r="A615" s="27"/>
      <c r="B615" s="27"/>
      <c r="C615" s="27"/>
      <c r="D615" s="27"/>
      <c r="E615" s="8"/>
      <c r="F615" s="8"/>
      <c r="G615" s="14"/>
      <c r="H615" s="8"/>
      <c r="I615" s="8"/>
      <c r="J615" s="8"/>
      <c r="K615" s="27"/>
      <c r="L615" s="8"/>
      <c r="M615" s="27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>
      <c r="A616" s="27"/>
      <c r="B616" s="27"/>
      <c r="C616" s="27"/>
      <c r="D616" s="27"/>
      <c r="E616" s="8"/>
      <c r="F616" s="8"/>
      <c r="G616" s="14"/>
      <c r="H616" s="8"/>
      <c r="I616" s="8"/>
      <c r="J616" s="8"/>
      <c r="K616" s="27"/>
      <c r="L616" s="8"/>
      <c r="M616" s="27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>
      <c r="A617" s="27"/>
      <c r="B617" s="27"/>
      <c r="C617" s="27"/>
      <c r="D617" s="27"/>
      <c r="E617" s="8"/>
      <c r="F617" s="8"/>
      <c r="G617" s="14"/>
      <c r="H617" s="8"/>
      <c r="I617" s="8"/>
      <c r="J617" s="8"/>
      <c r="K617" s="27"/>
      <c r="L617" s="8"/>
      <c r="M617" s="27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>
      <c r="A618" s="27"/>
      <c r="B618" s="27"/>
      <c r="C618" s="27"/>
      <c r="D618" s="27"/>
      <c r="E618" s="8"/>
      <c r="F618" s="8"/>
      <c r="G618" s="14"/>
      <c r="H618" s="8"/>
      <c r="I618" s="8"/>
      <c r="J618" s="8"/>
      <c r="K618" s="27"/>
      <c r="L618" s="8"/>
      <c r="M618" s="27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>
      <c r="A619" s="27"/>
      <c r="B619" s="27"/>
      <c r="C619" s="27"/>
      <c r="D619" s="27"/>
      <c r="E619" s="8"/>
      <c r="F619" s="8"/>
      <c r="G619" s="14"/>
      <c r="H619" s="8"/>
      <c r="I619" s="8"/>
      <c r="J619" s="8"/>
      <c r="K619" s="27"/>
      <c r="L619" s="8"/>
      <c r="M619" s="27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>
      <c r="A620" s="27"/>
      <c r="B620" s="27"/>
      <c r="C620" s="27"/>
      <c r="D620" s="27"/>
      <c r="E620" s="8"/>
      <c r="F620" s="8"/>
      <c r="G620" s="14"/>
      <c r="H620" s="8"/>
      <c r="I620" s="8"/>
      <c r="J620" s="8"/>
      <c r="K620" s="27"/>
      <c r="L620" s="8"/>
      <c r="M620" s="27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>
      <c r="A621" s="27"/>
      <c r="B621" s="27"/>
      <c r="C621" s="27"/>
      <c r="D621" s="27"/>
      <c r="E621" s="8"/>
      <c r="F621" s="8"/>
      <c r="G621" s="14"/>
      <c r="H621" s="8"/>
      <c r="I621" s="8"/>
      <c r="J621" s="8"/>
      <c r="K621" s="27"/>
      <c r="L621" s="8"/>
      <c r="M621" s="27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>
      <c r="A622" s="27"/>
      <c r="B622" s="27"/>
      <c r="C622" s="27"/>
      <c r="D622" s="27"/>
      <c r="E622" s="8"/>
      <c r="F622" s="8"/>
      <c r="G622" s="14"/>
      <c r="H622" s="8"/>
      <c r="I622" s="8"/>
      <c r="J622" s="8"/>
      <c r="K622" s="27"/>
      <c r="L622" s="8"/>
      <c r="M622" s="27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>
      <c r="A623" s="27"/>
      <c r="B623" s="27"/>
      <c r="C623" s="27"/>
      <c r="D623" s="27"/>
      <c r="E623" s="8"/>
      <c r="F623" s="8"/>
      <c r="G623" s="14"/>
      <c r="H623" s="8"/>
      <c r="I623" s="8"/>
      <c r="J623" s="8"/>
      <c r="K623" s="27"/>
      <c r="L623" s="8"/>
      <c r="M623" s="27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>
      <c r="A624" s="27"/>
      <c r="B624" s="27"/>
      <c r="C624" s="27"/>
      <c r="D624" s="27"/>
      <c r="E624" s="8"/>
      <c r="F624" s="8"/>
      <c r="G624" s="14"/>
      <c r="H624" s="8"/>
      <c r="I624" s="8"/>
      <c r="J624" s="8"/>
      <c r="K624" s="27"/>
      <c r="L624" s="8"/>
      <c r="M624" s="27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>
      <c r="A625" s="27"/>
      <c r="B625" s="27"/>
      <c r="C625" s="27"/>
      <c r="D625" s="27"/>
      <c r="E625" s="8"/>
      <c r="F625" s="8"/>
      <c r="G625" s="14"/>
      <c r="H625" s="8"/>
      <c r="I625" s="8"/>
      <c r="J625" s="8"/>
      <c r="K625" s="27"/>
      <c r="L625" s="8"/>
      <c r="M625" s="27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>
      <c r="A626" s="27"/>
      <c r="B626" s="27"/>
      <c r="C626" s="27"/>
      <c r="D626" s="27"/>
      <c r="E626" s="8"/>
      <c r="F626" s="8"/>
      <c r="G626" s="14"/>
      <c r="H626" s="8"/>
      <c r="I626" s="8"/>
      <c r="J626" s="8"/>
      <c r="K626" s="27"/>
      <c r="L626" s="8"/>
      <c r="M626" s="27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>
      <c r="A627" s="27"/>
      <c r="B627" s="27"/>
      <c r="C627" s="27"/>
      <c r="D627" s="27"/>
      <c r="E627" s="8"/>
      <c r="F627" s="8"/>
      <c r="G627" s="14"/>
      <c r="H627" s="8"/>
      <c r="I627" s="8"/>
      <c r="J627" s="8"/>
      <c r="K627" s="27"/>
      <c r="L627" s="8"/>
      <c r="M627" s="27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>
      <c r="A628" s="27"/>
      <c r="B628" s="27"/>
      <c r="C628" s="27"/>
      <c r="D628" s="27"/>
      <c r="E628" s="8"/>
      <c r="F628" s="8"/>
      <c r="G628" s="14"/>
      <c r="H628" s="8"/>
      <c r="I628" s="8"/>
      <c r="J628" s="8"/>
      <c r="K628" s="27"/>
      <c r="L628" s="8"/>
      <c r="M628" s="27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>
      <c r="A629" s="27"/>
      <c r="B629" s="27"/>
      <c r="C629" s="27"/>
      <c r="D629" s="27"/>
      <c r="E629" s="8"/>
      <c r="F629" s="8"/>
      <c r="G629" s="14"/>
      <c r="H629" s="8"/>
      <c r="I629" s="8"/>
      <c r="J629" s="8"/>
      <c r="K629" s="27"/>
      <c r="L629" s="8"/>
      <c r="M629" s="27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>
      <c r="A630" s="27"/>
      <c r="B630" s="27"/>
      <c r="C630" s="27"/>
      <c r="D630" s="27"/>
      <c r="E630" s="8"/>
      <c r="F630" s="8"/>
      <c r="G630" s="14"/>
      <c r="H630" s="8"/>
      <c r="I630" s="8"/>
      <c r="J630" s="8"/>
      <c r="K630" s="27"/>
      <c r="L630" s="8"/>
      <c r="M630" s="27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>
      <c r="A631" s="27"/>
      <c r="B631" s="27"/>
      <c r="C631" s="27"/>
      <c r="D631" s="27"/>
      <c r="E631" s="8"/>
      <c r="F631" s="8"/>
      <c r="G631" s="14"/>
      <c r="H631" s="8"/>
      <c r="I631" s="8"/>
      <c r="J631" s="8"/>
      <c r="K631" s="27"/>
      <c r="L631" s="8"/>
      <c r="M631" s="27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>
      <c r="A632" s="27"/>
      <c r="B632" s="27"/>
      <c r="C632" s="27"/>
      <c r="D632" s="27"/>
      <c r="E632" s="8"/>
      <c r="F632" s="8"/>
      <c r="G632" s="14"/>
      <c r="H632" s="8"/>
      <c r="I632" s="8"/>
      <c r="J632" s="8"/>
      <c r="K632" s="27"/>
      <c r="L632" s="8"/>
      <c r="M632" s="27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>
      <c r="A633" s="27"/>
      <c r="B633" s="27"/>
      <c r="C633" s="27"/>
      <c r="D633" s="27"/>
      <c r="E633" s="8"/>
      <c r="F633" s="8"/>
      <c r="G633" s="14"/>
      <c r="H633" s="8"/>
      <c r="I633" s="8"/>
      <c r="J633" s="8"/>
      <c r="K633" s="27"/>
      <c r="L633" s="8"/>
      <c r="M633" s="27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>
      <c r="A634" s="27"/>
      <c r="B634" s="27"/>
      <c r="C634" s="27"/>
      <c r="D634" s="27"/>
      <c r="E634" s="8"/>
      <c r="F634" s="8"/>
      <c r="G634" s="14"/>
      <c r="H634" s="8"/>
      <c r="I634" s="8"/>
      <c r="J634" s="8"/>
      <c r="K634" s="27"/>
      <c r="L634" s="8"/>
      <c r="M634" s="27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>
      <c r="A635" s="27"/>
      <c r="B635" s="27"/>
      <c r="C635" s="27"/>
      <c r="D635" s="27"/>
      <c r="E635" s="8"/>
      <c r="F635" s="8"/>
      <c r="G635" s="14"/>
      <c r="H635" s="8"/>
      <c r="I635" s="8"/>
      <c r="J635" s="8"/>
      <c r="K635" s="27"/>
      <c r="L635" s="8"/>
      <c r="M635" s="27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>
      <c r="A636" s="27"/>
      <c r="B636" s="27"/>
      <c r="C636" s="27"/>
      <c r="D636" s="27"/>
      <c r="E636" s="8"/>
      <c r="F636" s="8"/>
      <c r="G636" s="14"/>
      <c r="H636" s="8"/>
      <c r="I636" s="8"/>
      <c r="J636" s="8"/>
      <c r="K636" s="27"/>
      <c r="L636" s="8"/>
      <c r="M636" s="27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>
      <c r="A637" s="27"/>
      <c r="B637" s="27"/>
      <c r="C637" s="27"/>
      <c r="D637" s="27"/>
      <c r="E637" s="8"/>
      <c r="F637" s="8"/>
      <c r="G637" s="14"/>
      <c r="H637" s="8"/>
      <c r="I637" s="8"/>
      <c r="J637" s="8"/>
      <c r="K637" s="27"/>
      <c r="L637" s="8"/>
      <c r="M637" s="27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>
      <c r="A638" s="27"/>
      <c r="B638" s="27"/>
      <c r="C638" s="27"/>
      <c r="D638" s="27"/>
      <c r="E638" s="8"/>
      <c r="F638" s="8"/>
      <c r="G638" s="14"/>
      <c r="H638" s="8"/>
      <c r="I638" s="8"/>
      <c r="J638" s="8"/>
      <c r="K638" s="27"/>
      <c r="L638" s="8"/>
      <c r="M638" s="27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>
      <c r="A639" s="27"/>
      <c r="B639" s="27"/>
      <c r="C639" s="27"/>
      <c r="D639" s="27"/>
      <c r="E639" s="8"/>
      <c r="F639" s="8"/>
      <c r="G639" s="14"/>
      <c r="H639" s="8"/>
      <c r="I639" s="8"/>
      <c r="J639" s="8"/>
      <c r="K639" s="27"/>
      <c r="L639" s="8"/>
      <c r="M639" s="27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>
      <c r="A640" s="27"/>
      <c r="B640" s="27"/>
      <c r="C640" s="27"/>
      <c r="D640" s="27"/>
      <c r="E640" s="8"/>
      <c r="F640" s="8"/>
      <c r="G640" s="14"/>
      <c r="H640" s="8"/>
      <c r="I640" s="8"/>
      <c r="J640" s="8"/>
      <c r="K640" s="27"/>
      <c r="L640" s="8"/>
      <c r="M640" s="27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>
      <c r="A641" s="27"/>
      <c r="B641" s="27"/>
      <c r="C641" s="27"/>
      <c r="D641" s="27"/>
      <c r="E641" s="8"/>
      <c r="F641" s="8"/>
      <c r="G641" s="14"/>
      <c r="H641" s="8"/>
      <c r="I641" s="8"/>
      <c r="J641" s="8"/>
      <c r="K641" s="27"/>
      <c r="L641" s="8"/>
      <c r="M641" s="27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>
      <c r="A642" s="27"/>
      <c r="B642" s="27"/>
      <c r="C642" s="27"/>
      <c r="D642" s="27"/>
      <c r="E642" s="8"/>
      <c r="F642" s="8"/>
      <c r="G642" s="14"/>
      <c r="H642" s="8"/>
      <c r="I642" s="8"/>
      <c r="J642" s="8"/>
      <c r="K642" s="27"/>
      <c r="L642" s="8"/>
      <c r="M642" s="27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>
      <c r="A643" s="27"/>
      <c r="B643" s="27"/>
      <c r="C643" s="27"/>
      <c r="D643" s="27"/>
      <c r="E643" s="8"/>
      <c r="F643" s="8"/>
      <c r="G643" s="14"/>
      <c r="H643" s="8"/>
      <c r="I643" s="8"/>
      <c r="J643" s="8"/>
      <c r="K643" s="27"/>
      <c r="L643" s="8"/>
      <c r="M643" s="27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>
      <c r="A644" s="27"/>
      <c r="B644" s="27"/>
      <c r="C644" s="27"/>
      <c r="D644" s="27"/>
      <c r="E644" s="8"/>
      <c r="F644" s="8"/>
      <c r="G644" s="14"/>
      <c r="H644" s="8"/>
      <c r="I644" s="8"/>
      <c r="J644" s="8"/>
      <c r="K644" s="27"/>
      <c r="L644" s="8"/>
      <c r="M644" s="27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>
      <c r="A645" s="27"/>
      <c r="B645" s="27"/>
      <c r="C645" s="27"/>
      <c r="D645" s="27"/>
      <c r="E645" s="8"/>
      <c r="F645" s="8"/>
      <c r="G645" s="14"/>
      <c r="H645" s="8"/>
      <c r="I645" s="8"/>
      <c r="J645" s="8"/>
      <c r="K645" s="27"/>
      <c r="L645" s="8"/>
      <c r="M645" s="27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>
      <c r="A646" s="27"/>
      <c r="B646" s="27"/>
      <c r="C646" s="27"/>
      <c r="D646" s="27"/>
      <c r="E646" s="8"/>
      <c r="F646" s="8"/>
      <c r="G646" s="14"/>
      <c r="H646" s="8"/>
      <c r="I646" s="8"/>
      <c r="J646" s="8"/>
      <c r="K646" s="27"/>
      <c r="L646" s="8"/>
      <c r="M646" s="27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>
      <c r="A647" s="27"/>
      <c r="B647" s="27"/>
      <c r="C647" s="27"/>
      <c r="D647" s="27"/>
      <c r="E647" s="8"/>
      <c r="F647" s="8"/>
      <c r="G647" s="14"/>
      <c r="H647" s="8"/>
      <c r="I647" s="8"/>
      <c r="J647" s="8"/>
      <c r="K647" s="27"/>
      <c r="L647" s="8"/>
      <c r="M647" s="27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>
      <c r="A648" s="27"/>
      <c r="B648" s="27"/>
      <c r="C648" s="27"/>
      <c r="D648" s="27"/>
      <c r="E648" s="8"/>
      <c r="F648" s="8"/>
      <c r="G648" s="14"/>
      <c r="H648" s="8"/>
      <c r="I648" s="8"/>
      <c r="J648" s="8"/>
      <c r="K648" s="27"/>
      <c r="L648" s="8"/>
      <c r="M648" s="27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>
      <c r="A649" s="27"/>
      <c r="B649" s="27"/>
      <c r="C649" s="27"/>
      <c r="D649" s="27"/>
      <c r="E649" s="8"/>
      <c r="F649" s="8"/>
      <c r="G649" s="14"/>
      <c r="H649" s="8"/>
      <c r="I649" s="8"/>
      <c r="J649" s="8"/>
      <c r="K649" s="27"/>
      <c r="L649" s="8"/>
      <c r="M649" s="27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>
      <c r="A650" s="27"/>
      <c r="B650" s="27"/>
      <c r="C650" s="27"/>
      <c r="D650" s="27"/>
      <c r="E650" s="8"/>
      <c r="F650" s="8"/>
      <c r="G650" s="14"/>
      <c r="H650" s="8"/>
      <c r="I650" s="8"/>
      <c r="J650" s="8"/>
      <c r="K650" s="27"/>
      <c r="L650" s="8"/>
      <c r="M650" s="27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>
      <c r="A651" s="27"/>
      <c r="B651" s="27"/>
      <c r="C651" s="27"/>
      <c r="D651" s="27"/>
      <c r="E651" s="8"/>
      <c r="F651" s="8"/>
      <c r="G651" s="14"/>
      <c r="H651" s="8"/>
      <c r="I651" s="8"/>
      <c r="J651" s="8"/>
      <c r="K651" s="27"/>
      <c r="L651" s="8"/>
      <c r="M651" s="27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>
      <c r="A652" s="27"/>
      <c r="B652" s="27"/>
      <c r="C652" s="27"/>
      <c r="D652" s="27"/>
      <c r="E652" s="8"/>
      <c r="F652" s="8"/>
      <c r="G652" s="14"/>
      <c r="H652" s="8"/>
      <c r="I652" s="8"/>
      <c r="J652" s="8"/>
      <c r="K652" s="27"/>
      <c r="L652" s="8"/>
      <c r="M652" s="27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>
      <c r="A653" s="27"/>
      <c r="B653" s="27"/>
      <c r="C653" s="27"/>
      <c r="D653" s="27"/>
      <c r="E653" s="8"/>
      <c r="F653" s="8"/>
      <c r="G653" s="14"/>
      <c r="H653" s="8"/>
      <c r="I653" s="8"/>
      <c r="J653" s="8"/>
      <c r="K653" s="27"/>
      <c r="L653" s="8"/>
      <c r="M653" s="27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>
      <c r="A654" s="27"/>
      <c r="B654" s="27"/>
      <c r="C654" s="27"/>
      <c r="D654" s="27"/>
      <c r="E654" s="8"/>
      <c r="F654" s="8"/>
      <c r="G654" s="14"/>
      <c r="H654" s="8"/>
      <c r="I654" s="8"/>
      <c r="J654" s="8"/>
      <c r="K654" s="27"/>
      <c r="L654" s="8"/>
      <c r="M654" s="27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>
      <c r="A655" s="27"/>
      <c r="B655" s="27"/>
      <c r="C655" s="27"/>
      <c r="D655" s="27"/>
      <c r="E655" s="8"/>
      <c r="F655" s="8"/>
      <c r="G655" s="14"/>
      <c r="H655" s="8"/>
      <c r="I655" s="8"/>
      <c r="J655" s="8"/>
      <c r="K655" s="27"/>
      <c r="L655" s="8"/>
      <c r="M655" s="27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>
      <c r="A656" s="27"/>
      <c r="B656" s="27"/>
      <c r="C656" s="27"/>
      <c r="D656" s="27"/>
      <c r="E656" s="8"/>
      <c r="F656" s="8"/>
      <c r="G656" s="14"/>
      <c r="H656" s="8"/>
      <c r="I656" s="8"/>
      <c r="J656" s="8"/>
      <c r="K656" s="27"/>
      <c r="L656" s="8"/>
      <c r="M656" s="27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>
      <c r="A657" s="27"/>
      <c r="B657" s="27"/>
      <c r="C657" s="27"/>
      <c r="D657" s="27"/>
      <c r="E657" s="8"/>
      <c r="F657" s="8"/>
      <c r="G657" s="14"/>
      <c r="H657" s="8"/>
      <c r="I657" s="8"/>
      <c r="J657" s="8"/>
      <c r="K657" s="27"/>
      <c r="L657" s="8"/>
      <c r="M657" s="27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>
      <c r="A658" s="27"/>
      <c r="B658" s="27"/>
      <c r="C658" s="27"/>
      <c r="D658" s="27"/>
      <c r="E658" s="8"/>
      <c r="F658" s="8"/>
      <c r="G658" s="14"/>
      <c r="H658" s="8"/>
      <c r="I658" s="8"/>
      <c r="J658" s="8"/>
      <c r="K658" s="27"/>
      <c r="L658" s="8"/>
      <c r="M658" s="27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>
      <c r="A659" s="27"/>
      <c r="B659" s="27"/>
      <c r="C659" s="27"/>
      <c r="D659" s="27"/>
      <c r="E659" s="8"/>
      <c r="F659" s="8"/>
      <c r="G659" s="14"/>
      <c r="H659" s="8"/>
      <c r="I659" s="8"/>
      <c r="J659" s="8"/>
      <c r="K659" s="27"/>
      <c r="L659" s="8"/>
      <c r="M659" s="27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>
      <c r="A660" s="27"/>
      <c r="B660" s="27"/>
      <c r="C660" s="27"/>
      <c r="D660" s="27"/>
      <c r="E660" s="8"/>
      <c r="F660" s="8"/>
      <c r="G660" s="14"/>
      <c r="H660" s="8"/>
      <c r="I660" s="8"/>
      <c r="J660" s="8"/>
      <c r="K660" s="27"/>
      <c r="L660" s="8"/>
      <c r="M660" s="27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>
      <c r="A661" s="27"/>
      <c r="B661" s="27"/>
      <c r="C661" s="27"/>
      <c r="D661" s="27"/>
      <c r="E661" s="8"/>
      <c r="F661" s="8"/>
      <c r="G661" s="14"/>
      <c r="H661" s="8"/>
      <c r="I661" s="8"/>
      <c r="J661" s="8"/>
      <c r="K661" s="27"/>
      <c r="L661" s="8"/>
      <c r="M661" s="27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>
      <c r="A662" s="27"/>
      <c r="B662" s="27"/>
      <c r="C662" s="27"/>
      <c r="D662" s="27"/>
      <c r="E662" s="8"/>
      <c r="F662" s="8"/>
      <c r="G662" s="14"/>
      <c r="H662" s="8"/>
      <c r="I662" s="8"/>
      <c r="J662" s="8"/>
      <c r="K662" s="27"/>
      <c r="L662" s="8"/>
      <c r="M662" s="27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>
      <c r="A663" s="27"/>
      <c r="B663" s="27"/>
      <c r="C663" s="27"/>
      <c r="D663" s="27"/>
      <c r="E663" s="8"/>
      <c r="F663" s="8"/>
      <c r="G663" s="14"/>
      <c r="H663" s="8"/>
      <c r="I663" s="8"/>
      <c r="J663" s="8"/>
      <c r="K663" s="27"/>
      <c r="L663" s="8"/>
      <c r="M663" s="27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>
      <c r="A664" s="27"/>
      <c r="B664" s="27"/>
      <c r="C664" s="27"/>
      <c r="D664" s="27"/>
      <c r="E664" s="8"/>
      <c r="F664" s="8"/>
      <c r="G664" s="14"/>
      <c r="H664" s="8"/>
      <c r="I664" s="8"/>
      <c r="J664" s="8"/>
      <c r="K664" s="27"/>
      <c r="L664" s="8"/>
      <c r="M664" s="27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>
      <c r="A665" s="27"/>
      <c r="B665" s="27"/>
      <c r="C665" s="27"/>
      <c r="D665" s="27"/>
      <c r="E665" s="8"/>
      <c r="F665" s="8"/>
      <c r="G665" s="14"/>
      <c r="H665" s="8"/>
      <c r="I665" s="8"/>
      <c r="J665" s="8"/>
      <c r="K665" s="27"/>
      <c r="L665" s="8"/>
      <c r="M665" s="27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>
      <c r="A666" s="27"/>
      <c r="B666" s="27"/>
      <c r="C666" s="27"/>
      <c r="D666" s="27"/>
      <c r="E666" s="8"/>
      <c r="F666" s="8"/>
      <c r="G666" s="14"/>
      <c r="H666" s="8"/>
      <c r="I666" s="8"/>
      <c r="J666" s="8"/>
      <c r="K666" s="27"/>
      <c r="L666" s="8"/>
      <c r="M666" s="27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>
      <c r="A667" s="27"/>
      <c r="B667" s="27"/>
      <c r="C667" s="27"/>
      <c r="D667" s="27"/>
      <c r="E667" s="8"/>
      <c r="F667" s="8"/>
      <c r="G667" s="14"/>
      <c r="H667" s="8"/>
      <c r="I667" s="8"/>
      <c r="J667" s="8"/>
      <c r="K667" s="27"/>
      <c r="L667" s="8"/>
      <c r="M667" s="27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>
      <c r="A668" s="27"/>
      <c r="B668" s="27"/>
      <c r="C668" s="27"/>
      <c r="D668" s="27"/>
      <c r="E668" s="8"/>
      <c r="F668" s="8"/>
      <c r="G668" s="14"/>
      <c r="H668" s="8"/>
      <c r="I668" s="8"/>
      <c r="J668" s="8"/>
      <c r="K668" s="27"/>
      <c r="L668" s="8"/>
      <c r="M668" s="27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>
      <c r="A669" s="27"/>
      <c r="B669" s="27"/>
      <c r="C669" s="27"/>
      <c r="D669" s="27"/>
      <c r="E669" s="8"/>
      <c r="F669" s="8"/>
      <c r="G669" s="14"/>
      <c r="H669" s="8"/>
      <c r="I669" s="8"/>
      <c r="J669" s="8"/>
      <c r="K669" s="27"/>
      <c r="L669" s="8"/>
      <c r="M669" s="27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>
      <c r="A670" s="27"/>
      <c r="B670" s="27"/>
      <c r="C670" s="27"/>
      <c r="D670" s="27"/>
      <c r="E670" s="8"/>
      <c r="F670" s="8"/>
      <c r="G670" s="14"/>
      <c r="H670" s="8"/>
      <c r="I670" s="8"/>
      <c r="J670" s="8"/>
      <c r="K670" s="27"/>
      <c r="L670" s="8"/>
      <c r="M670" s="27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>
      <c r="A671" s="27"/>
      <c r="B671" s="27"/>
      <c r="C671" s="27"/>
      <c r="D671" s="27"/>
      <c r="E671" s="8"/>
      <c r="F671" s="8"/>
      <c r="G671" s="14"/>
      <c r="H671" s="8"/>
      <c r="I671" s="8"/>
      <c r="J671" s="8"/>
      <c r="K671" s="27"/>
      <c r="L671" s="8"/>
      <c r="M671" s="27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>
      <c r="A672" s="27"/>
      <c r="B672" s="27"/>
      <c r="C672" s="27"/>
      <c r="D672" s="27"/>
      <c r="E672" s="8"/>
      <c r="F672" s="8"/>
      <c r="G672" s="14"/>
      <c r="H672" s="8"/>
      <c r="I672" s="8"/>
      <c r="J672" s="8"/>
      <c r="K672" s="27"/>
      <c r="L672" s="8"/>
      <c r="M672" s="27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>
      <c r="A673" s="27"/>
      <c r="B673" s="27"/>
      <c r="C673" s="27"/>
      <c r="D673" s="27"/>
      <c r="E673" s="8"/>
      <c r="F673" s="8"/>
      <c r="G673" s="14"/>
      <c r="H673" s="8"/>
      <c r="I673" s="8"/>
      <c r="J673" s="8"/>
      <c r="K673" s="27"/>
      <c r="L673" s="8"/>
      <c r="M673" s="27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>
      <c r="A674" s="27"/>
      <c r="B674" s="27"/>
      <c r="C674" s="27"/>
      <c r="D674" s="27"/>
      <c r="E674" s="8"/>
      <c r="F674" s="8"/>
      <c r="G674" s="14"/>
      <c r="H674" s="8"/>
      <c r="I674" s="8"/>
      <c r="J674" s="8"/>
      <c r="K674" s="27"/>
      <c r="L674" s="8"/>
      <c r="M674" s="27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>
      <c r="A675" s="27"/>
      <c r="B675" s="27"/>
      <c r="C675" s="27"/>
      <c r="D675" s="27"/>
      <c r="E675" s="8"/>
      <c r="F675" s="8"/>
      <c r="G675" s="14"/>
      <c r="H675" s="8"/>
      <c r="I675" s="8"/>
      <c r="J675" s="8"/>
      <c r="K675" s="27"/>
      <c r="L675" s="8"/>
      <c r="M675" s="27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>
      <c r="A676" s="27"/>
      <c r="B676" s="27"/>
      <c r="C676" s="27"/>
      <c r="D676" s="27"/>
      <c r="E676" s="8"/>
      <c r="F676" s="8"/>
      <c r="G676" s="14"/>
      <c r="H676" s="8"/>
      <c r="I676" s="8"/>
      <c r="J676" s="8"/>
      <c r="K676" s="27"/>
      <c r="L676" s="8"/>
      <c r="M676" s="27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>
      <c r="A677" s="27"/>
      <c r="B677" s="27"/>
      <c r="C677" s="27"/>
      <c r="D677" s="27"/>
      <c r="E677" s="8"/>
      <c r="F677" s="8"/>
      <c r="G677" s="14"/>
      <c r="H677" s="8"/>
      <c r="I677" s="8"/>
      <c r="J677" s="8"/>
      <c r="K677" s="27"/>
      <c r="L677" s="8"/>
      <c r="M677" s="27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>
      <c r="A678" s="27"/>
      <c r="B678" s="27"/>
      <c r="C678" s="27"/>
      <c r="D678" s="27"/>
      <c r="E678" s="8"/>
      <c r="F678" s="8"/>
      <c r="G678" s="14"/>
      <c r="H678" s="8"/>
      <c r="I678" s="8"/>
      <c r="J678" s="8"/>
      <c r="K678" s="27"/>
      <c r="L678" s="8"/>
      <c r="M678" s="27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>
      <c r="A679" s="27"/>
      <c r="B679" s="27"/>
      <c r="C679" s="27"/>
      <c r="D679" s="27"/>
      <c r="E679" s="8"/>
      <c r="F679" s="8"/>
      <c r="G679" s="14"/>
      <c r="H679" s="8"/>
      <c r="I679" s="8"/>
      <c r="J679" s="8"/>
      <c r="K679" s="27"/>
      <c r="L679" s="8"/>
      <c r="M679" s="27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>
      <c r="A680" s="27"/>
      <c r="B680" s="27"/>
      <c r="C680" s="27"/>
      <c r="D680" s="27"/>
      <c r="E680" s="8"/>
      <c r="F680" s="8"/>
      <c r="G680" s="14"/>
      <c r="H680" s="8"/>
      <c r="I680" s="8"/>
      <c r="J680" s="8"/>
      <c r="K680" s="27"/>
      <c r="L680" s="8"/>
      <c r="M680" s="27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>
      <c r="A681" s="27"/>
      <c r="B681" s="27"/>
      <c r="C681" s="27"/>
      <c r="D681" s="27"/>
      <c r="E681" s="8"/>
      <c r="F681" s="8"/>
      <c r="G681" s="14"/>
      <c r="H681" s="8"/>
      <c r="I681" s="8"/>
      <c r="J681" s="8"/>
      <c r="K681" s="27"/>
      <c r="L681" s="8"/>
      <c r="M681" s="27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>
      <c r="A682" s="27"/>
      <c r="B682" s="27"/>
      <c r="C682" s="27"/>
      <c r="D682" s="27"/>
      <c r="E682" s="8"/>
      <c r="F682" s="8"/>
      <c r="G682" s="14"/>
      <c r="H682" s="8"/>
      <c r="I682" s="8"/>
      <c r="J682" s="8"/>
      <c r="K682" s="27"/>
      <c r="L682" s="8"/>
      <c r="M682" s="27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>
      <c r="A683" s="27"/>
      <c r="B683" s="27"/>
      <c r="C683" s="27"/>
      <c r="D683" s="27"/>
      <c r="E683" s="8"/>
      <c r="F683" s="8"/>
      <c r="G683" s="14"/>
      <c r="H683" s="8"/>
      <c r="I683" s="8"/>
      <c r="J683" s="8"/>
      <c r="K683" s="27"/>
      <c r="L683" s="8"/>
      <c r="M683" s="27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>
      <c r="A684" s="27"/>
      <c r="B684" s="27"/>
      <c r="C684" s="27"/>
      <c r="D684" s="27"/>
      <c r="E684" s="8"/>
      <c r="F684" s="8"/>
      <c r="G684" s="14"/>
      <c r="H684" s="8"/>
      <c r="I684" s="8"/>
      <c r="J684" s="8"/>
      <c r="K684" s="27"/>
      <c r="L684" s="8"/>
      <c r="M684" s="27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>
      <c r="A685" s="27"/>
      <c r="B685" s="27"/>
      <c r="C685" s="27"/>
      <c r="D685" s="27"/>
      <c r="E685" s="8"/>
      <c r="F685" s="8"/>
      <c r="G685" s="14"/>
      <c r="H685" s="8"/>
      <c r="I685" s="8"/>
      <c r="J685" s="8"/>
      <c r="K685" s="27"/>
      <c r="L685" s="8"/>
      <c r="M685" s="27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>
      <c r="A686" s="27"/>
      <c r="B686" s="27"/>
      <c r="C686" s="27"/>
      <c r="D686" s="27"/>
      <c r="E686" s="8"/>
      <c r="F686" s="8"/>
      <c r="G686" s="14"/>
      <c r="H686" s="8"/>
      <c r="I686" s="8"/>
      <c r="J686" s="8"/>
      <c r="K686" s="27"/>
      <c r="L686" s="8"/>
      <c r="M686" s="27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>
      <c r="A687" s="27"/>
      <c r="B687" s="27"/>
      <c r="C687" s="27"/>
      <c r="D687" s="27"/>
      <c r="E687" s="8"/>
      <c r="F687" s="8"/>
      <c r="G687" s="14"/>
      <c r="H687" s="8"/>
      <c r="I687" s="8"/>
      <c r="J687" s="8"/>
      <c r="K687" s="27"/>
      <c r="L687" s="8"/>
      <c r="M687" s="27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>
      <c r="A688" s="27"/>
      <c r="B688" s="27"/>
      <c r="C688" s="27"/>
      <c r="D688" s="27"/>
      <c r="E688" s="8"/>
      <c r="F688" s="8"/>
      <c r="G688" s="14"/>
      <c r="H688" s="8"/>
      <c r="I688" s="8"/>
      <c r="J688" s="8"/>
      <c r="K688" s="27"/>
      <c r="L688" s="8"/>
      <c r="M688" s="27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>
      <c r="A689" s="27"/>
      <c r="B689" s="27"/>
      <c r="C689" s="27"/>
      <c r="D689" s="27"/>
      <c r="E689" s="8"/>
      <c r="F689" s="8"/>
      <c r="G689" s="14"/>
      <c r="H689" s="8"/>
      <c r="I689" s="8"/>
      <c r="J689" s="8"/>
      <c r="K689" s="27"/>
      <c r="L689" s="8"/>
      <c r="M689" s="27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>
      <c r="A690" s="27"/>
      <c r="B690" s="27"/>
      <c r="C690" s="27"/>
      <c r="D690" s="27"/>
      <c r="E690" s="8"/>
      <c r="F690" s="8"/>
      <c r="G690" s="14"/>
      <c r="H690" s="8"/>
      <c r="I690" s="8"/>
      <c r="J690" s="8"/>
      <c r="K690" s="27"/>
      <c r="L690" s="8"/>
      <c r="M690" s="27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>
      <c r="A691" s="27"/>
      <c r="B691" s="27"/>
      <c r="C691" s="27"/>
      <c r="D691" s="27"/>
      <c r="E691" s="8"/>
      <c r="F691" s="8"/>
      <c r="G691" s="14"/>
      <c r="H691" s="8"/>
      <c r="I691" s="8"/>
      <c r="J691" s="8"/>
      <c r="K691" s="27"/>
      <c r="L691" s="8"/>
      <c r="M691" s="27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>
      <c r="A692" s="27"/>
      <c r="B692" s="27"/>
      <c r="C692" s="27"/>
      <c r="D692" s="27"/>
      <c r="E692" s="8"/>
      <c r="F692" s="8"/>
      <c r="G692" s="14"/>
      <c r="H692" s="8"/>
      <c r="I692" s="8"/>
      <c r="J692" s="8"/>
      <c r="K692" s="27"/>
      <c r="L692" s="8"/>
      <c r="M692" s="27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>
      <c r="A693" s="27"/>
      <c r="B693" s="27"/>
      <c r="C693" s="27"/>
      <c r="D693" s="27"/>
      <c r="E693" s="8"/>
      <c r="F693" s="8"/>
      <c r="G693" s="14"/>
      <c r="H693" s="8"/>
      <c r="I693" s="8"/>
      <c r="J693" s="8"/>
      <c r="K693" s="27"/>
      <c r="L693" s="8"/>
      <c r="M693" s="27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>
      <c r="A694" s="27"/>
      <c r="B694" s="27"/>
      <c r="C694" s="27"/>
      <c r="D694" s="27"/>
      <c r="E694" s="8"/>
      <c r="F694" s="8"/>
      <c r="G694" s="14"/>
      <c r="H694" s="8"/>
      <c r="I694" s="8"/>
      <c r="J694" s="8"/>
      <c r="K694" s="27"/>
      <c r="L694" s="8"/>
      <c r="M694" s="27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>
      <c r="A695" s="27"/>
      <c r="B695" s="27"/>
      <c r="C695" s="27"/>
      <c r="D695" s="27"/>
      <c r="E695" s="8"/>
      <c r="F695" s="8"/>
      <c r="G695" s="14"/>
      <c r="H695" s="8"/>
      <c r="I695" s="8"/>
      <c r="J695" s="8"/>
      <c r="K695" s="27"/>
      <c r="L695" s="8"/>
      <c r="M695" s="27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>
      <c r="A696" s="27"/>
      <c r="B696" s="27"/>
      <c r="C696" s="27"/>
      <c r="D696" s="27"/>
      <c r="E696" s="8"/>
      <c r="F696" s="8"/>
      <c r="G696" s="14"/>
      <c r="H696" s="8"/>
      <c r="I696" s="8"/>
      <c r="J696" s="8"/>
      <c r="K696" s="27"/>
      <c r="L696" s="8"/>
      <c r="M696" s="27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>
      <c r="A697" s="27"/>
      <c r="B697" s="27"/>
      <c r="C697" s="27"/>
      <c r="D697" s="27"/>
      <c r="E697" s="8"/>
      <c r="F697" s="8"/>
      <c r="G697" s="14"/>
      <c r="H697" s="8"/>
      <c r="I697" s="8"/>
      <c r="J697" s="8"/>
      <c r="K697" s="27"/>
      <c r="L697" s="8"/>
      <c r="M697" s="27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>
      <c r="A698" s="27"/>
      <c r="B698" s="27"/>
      <c r="C698" s="27"/>
      <c r="D698" s="27"/>
      <c r="E698" s="8"/>
      <c r="F698" s="8"/>
      <c r="G698" s="14"/>
      <c r="H698" s="8"/>
      <c r="I698" s="8"/>
      <c r="J698" s="8"/>
      <c r="K698" s="27"/>
      <c r="L698" s="8"/>
      <c r="M698" s="27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>
      <c r="A699" s="27"/>
      <c r="B699" s="27"/>
      <c r="C699" s="27"/>
      <c r="D699" s="27"/>
      <c r="E699" s="8"/>
      <c r="F699" s="8"/>
      <c r="G699" s="14"/>
      <c r="H699" s="8"/>
      <c r="I699" s="8"/>
      <c r="J699" s="8"/>
      <c r="K699" s="27"/>
      <c r="L699" s="8"/>
      <c r="M699" s="27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>
      <c r="A700" s="27"/>
      <c r="B700" s="27"/>
      <c r="C700" s="27"/>
      <c r="D700" s="27"/>
      <c r="E700" s="8"/>
      <c r="F700" s="8"/>
      <c r="G700" s="14"/>
      <c r="H700" s="8"/>
      <c r="I700" s="8"/>
      <c r="J700" s="8"/>
      <c r="K700" s="27"/>
      <c r="L700" s="8"/>
      <c r="M700" s="27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>
      <c r="A701" s="27"/>
      <c r="B701" s="27"/>
      <c r="C701" s="27"/>
      <c r="D701" s="27"/>
      <c r="E701" s="8"/>
      <c r="F701" s="8"/>
      <c r="G701" s="14"/>
      <c r="H701" s="8"/>
      <c r="I701" s="8"/>
      <c r="J701" s="8"/>
      <c r="K701" s="27"/>
      <c r="L701" s="8"/>
      <c r="M701" s="27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>
      <c r="A702" s="27"/>
      <c r="B702" s="27"/>
      <c r="C702" s="27"/>
      <c r="D702" s="27"/>
      <c r="E702" s="8"/>
      <c r="F702" s="8"/>
      <c r="G702" s="14"/>
      <c r="H702" s="8"/>
      <c r="I702" s="8"/>
      <c r="J702" s="8"/>
      <c r="K702" s="27"/>
      <c r="L702" s="8"/>
      <c r="M702" s="27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>
      <c r="A703" s="27"/>
      <c r="B703" s="27"/>
      <c r="C703" s="27"/>
      <c r="D703" s="27"/>
      <c r="E703" s="8"/>
      <c r="F703" s="8"/>
      <c r="G703" s="14"/>
      <c r="H703" s="8"/>
      <c r="I703" s="8"/>
      <c r="J703" s="8"/>
      <c r="K703" s="27"/>
      <c r="L703" s="8"/>
      <c r="M703" s="27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>
      <c r="A704" s="27"/>
      <c r="B704" s="27"/>
      <c r="C704" s="27"/>
      <c r="D704" s="27"/>
      <c r="E704" s="8"/>
      <c r="F704" s="8"/>
      <c r="G704" s="14"/>
      <c r="H704" s="8"/>
      <c r="I704" s="8"/>
      <c r="J704" s="8"/>
      <c r="K704" s="27"/>
      <c r="L704" s="8"/>
      <c r="M704" s="27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>
      <c r="A705" s="27"/>
      <c r="B705" s="27"/>
      <c r="C705" s="27"/>
      <c r="D705" s="27"/>
      <c r="E705" s="8"/>
      <c r="F705" s="8"/>
      <c r="G705" s="14"/>
      <c r="H705" s="8"/>
      <c r="I705" s="8"/>
      <c r="J705" s="8"/>
      <c r="K705" s="27"/>
      <c r="L705" s="8"/>
      <c r="M705" s="27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>
      <c r="A706" s="27"/>
      <c r="B706" s="27"/>
      <c r="C706" s="27"/>
      <c r="D706" s="27"/>
      <c r="E706" s="8"/>
      <c r="F706" s="8"/>
      <c r="G706" s="14"/>
      <c r="H706" s="8"/>
      <c r="I706" s="8"/>
      <c r="J706" s="8"/>
      <c r="K706" s="27"/>
      <c r="L706" s="8"/>
      <c r="M706" s="27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>
      <c r="A707" s="27"/>
      <c r="B707" s="27"/>
      <c r="C707" s="27"/>
      <c r="D707" s="27"/>
      <c r="E707" s="8"/>
      <c r="F707" s="8"/>
      <c r="G707" s="14"/>
      <c r="H707" s="8"/>
      <c r="I707" s="8"/>
      <c r="J707" s="8"/>
      <c r="K707" s="27"/>
      <c r="L707" s="8"/>
      <c r="M707" s="27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>
      <c r="A708" s="27"/>
      <c r="B708" s="27"/>
      <c r="C708" s="27"/>
      <c r="D708" s="27"/>
      <c r="E708" s="8"/>
      <c r="F708" s="8"/>
      <c r="G708" s="14"/>
      <c r="H708" s="8"/>
      <c r="I708" s="8"/>
      <c r="J708" s="8"/>
      <c r="K708" s="27"/>
      <c r="L708" s="8"/>
      <c r="M708" s="27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>
      <c r="A709" s="27"/>
      <c r="B709" s="27"/>
      <c r="C709" s="27"/>
      <c r="D709" s="27"/>
      <c r="E709" s="8"/>
      <c r="F709" s="8"/>
      <c r="G709" s="14"/>
      <c r="H709" s="8"/>
      <c r="I709" s="8"/>
      <c r="J709" s="8"/>
      <c r="K709" s="27"/>
      <c r="L709" s="8"/>
      <c r="M709" s="27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>
      <c r="A710" s="27"/>
      <c r="B710" s="27"/>
      <c r="C710" s="27"/>
      <c r="D710" s="27"/>
      <c r="E710" s="8"/>
      <c r="F710" s="8"/>
      <c r="G710" s="14"/>
      <c r="H710" s="8"/>
      <c r="I710" s="8"/>
      <c r="J710" s="8"/>
      <c r="K710" s="27"/>
      <c r="L710" s="8"/>
      <c r="M710" s="27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>
      <c r="A711" s="27"/>
      <c r="B711" s="27"/>
      <c r="C711" s="27"/>
      <c r="D711" s="27"/>
      <c r="E711" s="8"/>
      <c r="F711" s="8"/>
      <c r="G711" s="14"/>
      <c r="H711" s="8"/>
      <c r="I711" s="8"/>
      <c r="J711" s="8"/>
      <c r="K711" s="27"/>
      <c r="L711" s="8"/>
      <c r="M711" s="27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>
      <c r="A712" s="27"/>
      <c r="B712" s="27"/>
      <c r="C712" s="27"/>
      <c r="D712" s="27"/>
      <c r="E712" s="8"/>
      <c r="F712" s="8"/>
      <c r="G712" s="14"/>
      <c r="H712" s="8"/>
      <c r="I712" s="8"/>
      <c r="J712" s="8"/>
      <c r="K712" s="27"/>
      <c r="L712" s="8"/>
      <c r="M712" s="27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>
      <c r="A713" s="27"/>
      <c r="B713" s="27"/>
      <c r="C713" s="27"/>
      <c r="D713" s="27"/>
      <c r="E713" s="8"/>
      <c r="F713" s="8"/>
      <c r="G713" s="14"/>
      <c r="H713" s="8"/>
      <c r="I713" s="8"/>
      <c r="J713" s="8"/>
      <c r="K713" s="27"/>
      <c r="L713" s="8"/>
      <c r="M713" s="27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>
      <c r="A714" s="27"/>
      <c r="B714" s="27"/>
      <c r="C714" s="27"/>
      <c r="D714" s="27"/>
      <c r="E714" s="8"/>
      <c r="F714" s="8"/>
      <c r="G714" s="14"/>
      <c r="H714" s="8"/>
      <c r="I714" s="8"/>
      <c r="J714" s="8"/>
      <c r="K714" s="27"/>
      <c r="L714" s="8"/>
      <c r="M714" s="27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>
      <c r="A715" s="27"/>
      <c r="B715" s="27"/>
      <c r="C715" s="27"/>
      <c r="D715" s="27"/>
      <c r="E715" s="8"/>
      <c r="F715" s="8"/>
      <c r="G715" s="14"/>
      <c r="H715" s="8"/>
      <c r="I715" s="8"/>
      <c r="J715" s="8"/>
      <c r="K715" s="27"/>
      <c r="L715" s="8"/>
      <c r="M715" s="27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>
      <c r="A716" s="27"/>
      <c r="B716" s="27"/>
      <c r="C716" s="27"/>
      <c r="D716" s="27"/>
      <c r="E716" s="8"/>
      <c r="F716" s="8"/>
      <c r="G716" s="14"/>
      <c r="H716" s="8"/>
      <c r="I716" s="8"/>
      <c r="J716" s="8"/>
      <c r="K716" s="27"/>
      <c r="L716" s="8"/>
      <c r="M716" s="27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>
      <c r="A717" s="27"/>
      <c r="B717" s="27"/>
      <c r="C717" s="27"/>
      <c r="D717" s="27"/>
      <c r="E717" s="8"/>
      <c r="F717" s="8"/>
      <c r="G717" s="14"/>
      <c r="H717" s="8"/>
      <c r="I717" s="8"/>
      <c r="J717" s="8"/>
      <c r="K717" s="27"/>
      <c r="L717" s="8"/>
      <c r="M717" s="27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>
      <c r="A718" s="27"/>
      <c r="B718" s="27"/>
      <c r="C718" s="27"/>
      <c r="D718" s="27"/>
      <c r="E718" s="8"/>
      <c r="F718" s="8"/>
      <c r="G718" s="14"/>
      <c r="H718" s="8"/>
      <c r="I718" s="8"/>
      <c r="J718" s="8"/>
      <c r="K718" s="27"/>
      <c r="L718" s="8"/>
      <c r="M718" s="27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>
      <c r="A719" s="27"/>
      <c r="B719" s="27"/>
      <c r="C719" s="27"/>
      <c r="D719" s="27"/>
      <c r="E719" s="8"/>
      <c r="F719" s="8"/>
      <c r="G719" s="14"/>
      <c r="H719" s="8"/>
      <c r="I719" s="8"/>
      <c r="J719" s="8"/>
      <c r="K719" s="27"/>
      <c r="L719" s="8"/>
      <c r="M719" s="27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>
      <c r="A720" s="27"/>
      <c r="B720" s="27"/>
      <c r="C720" s="27"/>
      <c r="D720" s="27"/>
      <c r="E720" s="8"/>
      <c r="F720" s="8"/>
      <c r="G720" s="14"/>
      <c r="H720" s="8"/>
      <c r="I720" s="8"/>
      <c r="J720" s="8"/>
      <c r="K720" s="27"/>
      <c r="L720" s="8"/>
      <c r="M720" s="27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>
      <c r="A721" s="27"/>
      <c r="B721" s="27"/>
      <c r="C721" s="27"/>
      <c r="D721" s="27"/>
      <c r="E721" s="8"/>
      <c r="F721" s="8"/>
      <c r="G721" s="14"/>
      <c r="H721" s="8"/>
      <c r="I721" s="8"/>
      <c r="J721" s="8"/>
      <c r="K721" s="27"/>
      <c r="L721" s="8"/>
      <c r="M721" s="27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>
      <c r="A722" s="27"/>
      <c r="B722" s="27"/>
      <c r="C722" s="27"/>
      <c r="D722" s="27"/>
      <c r="E722" s="8"/>
      <c r="F722" s="8"/>
      <c r="G722" s="14"/>
      <c r="H722" s="8"/>
      <c r="I722" s="8"/>
      <c r="J722" s="8"/>
      <c r="K722" s="27"/>
      <c r="L722" s="8"/>
      <c r="M722" s="27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>
      <c r="A723" s="27"/>
      <c r="B723" s="27"/>
      <c r="C723" s="27"/>
      <c r="D723" s="27"/>
      <c r="E723" s="8"/>
      <c r="F723" s="8"/>
      <c r="G723" s="14"/>
      <c r="H723" s="8"/>
      <c r="I723" s="8"/>
      <c r="J723" s="8"/>
      <c r="K723" s="27"/>
      <c r="L723" s="8"/>
      <c r="M723" s="27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>
      <c r="A724" s="27"/>
      <c r="B724" s="27"/>
      <c r="C724" s="27"/>
      <c r="D724" s="27"/>
      <c r="E724" s="8"/>
      <c r="F724" s="8"/>
      <c r="G724" s="14"/>
      <c r="H724" s="8"/>
      <c r="I724" s="8"/>
      <c r="J724" s="8"/>
      <c r="K724" s="27"/>
      <c r="L724" s="8"/>
      <c r="M724" s="27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>
      <c r="A725" s="27"/>
      <c r="B725" s="27"/>
      <c r="C725" s="27"/>
      <c r="D725" s="27"/>
      <c r="E725" s="8"/>
      <c r="F725" s="8"/>
      <c r="G725" s="14"/>
      <c r="H725" s="8"/>
      <c r="I725" s="8"/>
      <c r="J725" s="8"/>
      <c r="K725" s="27"/>
      <c r="L725" s="8"/>
      <c r="M725" s="27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>
      <c r="A726" s="27"/>
      <c r="B726" s="27"/>
      <c r="C726" s="27"/>
      <c r="D726" s="27"/>
      <c r="E726" s="8"/>
      <c r="F726" s="8"/>
      <c r="G726" s="14"/>
      <c r="H726" s="8"/>
      <c r="I726" s="8"/>
      <c r="J726" s="8"/>
      <c r="K726" s="27"/>
      <c r="L726" s="8"/>
      <c r="M726" s="27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>
      <c r="A727" s="27"/>
      <c r="B727" s="27"/>
      <c r="C727" s="27"/>
      <c r="D727" s="27"/>
      <c r="E727" s="8"/>
      <c r="F727" s="8"/>
      <c r="G727" s="14"/>
      <c r="H727" s="8"/>
      <c r="I727" s="8"/>
      <c r="J727" s="8"/>
      <c r="K727" s="27"/>
      <c r="L727" s="8"/>
      <c r="M727" s="27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>
      <c r="A728" s="27"/>
      <c r="B728" s="27"/>
      <c r="C728" s="27"/>
      <c r="D728" s="27"/>
      <c r="E728" s="8"/>
      <c r="F728" s="8"/>
      <c r="G728" s="14"/>
      <c r="H728" s="8"/>
      <c r="I728" s="8"/>
      <c r="J728" s="8"/>
      <c r="K728" s="27"/>
      <c r="L728" s="8"/>
      <c r="M728" s="27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>
      <c r="A729" s="27"/>
      <c r="B729" s="27"/>
      <c r="C729" s="27"/>
      <c r="D729" s="27"/>
      <c r="E729" s="8"/>
      <c r="F729" s="8"/>
      <c r="G729" s="14"/>
      <c r="H729" s="8"/>
      <c r="I729" s="8"/>
      <c r="J729" s="8"/>
      <c r="K729" s="27"/>
      <c r="L729" s="8"/>
      <c r="M729" s="27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>
      <c r="A730" s="27"/>
      <c r="B730" s="27"/>
      <c r="C730" s="27"/>
      <c r="D730" s="27"/>
      <c r="E730" s="8"/>
      <c r="F730" s="8"/>
      <c r="G730" s="14"/>
      <c r="H730" s="8"/>
      <c r="I730" s="8"/>
      <c r="J730" s="8"/>
      <c r="K730" s="27"/>
      <c r="L730" s="8"/>
      <c r="M730" s="27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>
      <c r="A731" s="27"/>
      <c r="B731" s="27"/>
      <c r="C731" s="27"/>
      <c r="D731" s="27"/>
      <c r="E731" s="8"/>
      <c r="F731" s="8"/>
      <c r="G731" s="14"/>
      <c r="H731" s="8"/>
      <c r="I731" s="8"/>
      <c r="J731" s="8"/>
      <c r="K731" s="27"/>
      <c r="L731" s="8"/>
      <c r="M731" s="27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>
      <c r="A732" s="27"/>
      <c r="B732" s="27"/>
      <c r="C732" s="27"/>
      <c r="D732" s="27"/>
      <c r="E732" s="8"/>
      <c r="F732" s="8"/>
      <c r="G732" s="14"/>
      <c r="H732" s="8"/>
      <c r="I732" s="8"/>
      <c r="J732" s="8"/>
      <c r="K732" s="27"/>
      <c r="L732" s="8"/>
      <c r="M732" s="27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>
      <c r="A733" s="27"/>
      <c r="B733" s="27"/>
      <c r="C733" s="27"/>
      <c r="D733" s="27"/>
      <c r="E733" s="8"/>
      <c r="F733" s="8"/>
      <c r="G733" s="14"/>
      <c r="H733" s="8"/>
      <c r="I733" s="8"/>
      <c r="J733" s="8"/>
      <c r="K733" s="27"/>
      <c r="L733" s="8"/>
      <c r="M733" s="27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>
      <c r="A734" s="27"/>
      <c r="B734" s="27"/>
      <c r="C734" s="27"/>
      <c r="D734" s="27"/>
      <c r="E734" s="8"/>
      <c r="F734" s="8"/>
      <c r="G734" s="14"/>
      <c r="H734" s="8"/>
      <c r="I734" s="8"/>
      <c r="J734" s="8"/>
      <c r="K734" s="27"/>
      <c r="L734" s="8"/>
      <c r="M734" s="27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>
      <c r="A735" s="27"/>
      <c r="B735" s="27"/>
      <c r="C735" s="27"/>
      <c r="D735" s="27"/>
      <c r="E735" s="8"/>
      <c r="F735" s="8"/>
      <c r="G735" s="14"/>
      <c r="H735" s="8"/>
      <c r="I735" s="8"/>
      <c r="J735" s="8"/>
      <c r="K735" s="27"/>
      <c r="L735" s="8"/>
      <c r="M735" s="27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>
      <c r="A736" s="27"/>
      <c r="B736" s="27"/>
      <c r="C736" s="27"/>
      <c r="D736" s="27"/>
      <c r="E736" s="8"/>
      <c r="F736" s="8"/>
      <c r="G736" s="14"/>
      <c r="H736" s="8"/>
      <c r="I736" s="8"/>
      <c r="J736" s="8"/>
      <c r="K736" s="27"/>
      <c r="L736" s="8"/>
      <c r="M736" s="27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>
      <c r="A737" s="27"/>
      <c r="B737" s="27"/>
      <c r="C737" s="27"/>
      <c r="D737" s="27"/>
      <c r="E737" s="8"/>
      <c r="F737" s="8"/>
      <c r="G737" s="14"/>
      <c r="H737" s="8"/>
      <c r="I737" s="8"/>
      <c r="J737" s="8"/>
      <c r="K737" s="27"/>
      <c r="L737" s="8"/>
      <c r="M737" s="27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>
      <c r="A738" s="27"/>
      <c r="B738" s="27"/>
      <c r="C738" s="27"/>
      <c r="D738" s="27"/>
      <c r="E738" s="8"/>
      <c r="F738" s="8"/>
      <c r="G738" s="14"/>
      <c r="H738" s="8"/>
      <c r="I738" s="8"/>
      <c r="J738" s="8"/>
      <c r="K738" s="27"/>
      <c r="L738" s="8"/>
      <c r="M738" s="27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>
      <c r="A739" s="27"/>
      <c r="B739" s="27"/>
      <c r="C739" s="27"/>
      <c r="D739" s="27"/>
      <c r="E739" s="8"/>
      <c r="F739" s="8"/>
      <c r="G739" s="14"/>
      <c r="H739" s="8"/>
      <c r="I739" s="8"/>
      <c r="J739" s="8"/>
      <c r="K739" s="27"/>
      <c r="L739" s="8"/>
      <c r="M739" s="27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>
      <c r="A740" s="27"/>
      <c r="B740" s="27"/>
      <c r="C740" s="27"/>
      <c r="D740" s="27"/>
      <c r="E740" s="8"/>
      <c r="F740" s="8"/>
      <c r="G740" s="14"/>
      <c r="H740" s="8"/>
      <c r="I740" s="8"/>
      <c r="J740" s="8"/>
      <c r="K740" s="27"/>
      <c r="L740" s="8"/>
      <c r="M740" s="27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>
      <c r="A741" s="27"/>
      <c r="B741" s="27"/>
      <c r="C741" s="27"/>
      <c r="D741" s="27"/>
      <c r="E741" s="8"/>
      <c r="F741" s="8"/>
      <c r="G741" s="14"/>
      <c r="H741" s="8"/>
      <c r="I741" s="8"/>
      <c r="J741" s="8"/>
      <c r="K741" s="27"/>
      <c r="L741" s="8"/>
      <c r="M741" s="27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>
      <c r="A742" s="27"/>
      <c r="B742" s="27"/>
      <c r="C742" s="27"/>
      <c r="D742" s="27"/>
      <c r="E742" s="8"/>
      <c r="F742" s="8"/>
      <c r="G742" s="14"/>
      <c r="H742" s="8"/>
      <c r="I742" s="8"/>
      <c r="J742" s="8"/>
      <c r="K742" s="27"/>
      <c r="L742" s="8"/>
      <c r="M742" s="27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>
      <c r="A743" s="27"/>
      <c r="B743" s="27"/>
      <c r="C743" s="27"/>
      <c r="D743" s="27"/>
      <c r="E743" s="8"/>
      <c r="F743" s="8"/>
      <c r="G743" s="14"/>
      <c r="H743" s="8"/>
      <c r="I743" s="8"/>
      <c r="J743" s="8"/>
      <c r="K743" s="27"/>
      <c r="L743" s="8"/>
      <c r="M743" s="27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>
      <c r="A744" s="27"/>
      <c r="B744" s="27"/>
      <c r="C744" s="27"/>
      <c r="D744" s="27"/>
      <c r="E744" s="8"/>
      <c r="F744" s="8"/>
      <c r="G744" s="14"/>
      <c r="H744" s="8"/>
      <c r="I744" s="8"/>
      <c r="J744" s="8"/>
      <c r="K744" s="27"/>
      <c r="L744" s="8"/>
      <c r="M744" s="27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>
      <c r="A745" s="27"/>
      <c r="B745" s="27"/>
      <c r="C745" s="27"/>
      <c r="D745" s="27"/>
      <c r="E745" s="8"/>
      <c r="F745" s="8"/>
      <c r="G745" s="14"/>
      <c r="H745" s="8"/>
      <c r="I745" s="8"/>
      <c r="J745" s="8"/>
      <c r="K745" s="27"/>
      <c r="L745" s="8"/>
      <c r="M745" s="27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>
      <c r="A746" s="27"/>
      <c r="B746" s="27"/>
      <c r="C746" s="27"/>
      <c r="D746" s="27"/>
      <c r="E746" s="8"/>
      <c r="F746" s="8"/>
      <c r="G746" s="14"/>
      <c r="H746" s="8"/>
      <c r="I746" s="8"/>
      <c r="J746" s="8"/>
      <c r="K746" s="27"/>
      <c r="L746" s="8"/>
      <c r="M746" s="27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>
      <c r="A747" s="27"/>
      <c r="B747" s="27"/>
      <c r="C747" s="27"/>
      <c r="D747" s="27"/>
      <c r="E747" s="8"/>
      <c r="F747" s="8"/>
      <c r="G747" s="14"/>
      <c r="H747" s="8"/>
      <c r="I747" s="8"/>
      <c r="J747" s="8"/>
      <c r="K747" s="27"/>
      <c r="L747" s="8"/>
      <c r="M747" s="27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>
      <c r="A748" s="27"/>
      <c r="B748" s="27"/>
      <c r="C748" s="27"/>
      <c r="D748" s="27"/>
      <c r="E748" s="8"/>
      <c r="F748" s="8"/>
      <c r="G748" s="14"/>
      <c r="H748" s="8"/>
      <c r="I748" s="8"/>
      <c r="J748" s="8"/>
      <c r="K748" s="27"/>
      <c r="L748" s="8"/>
      <c r="M748" s="27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>
      <c r="A749" s="27"/>
      <c r="B749" s="27"/>
      <c r="C749" s="27"/>
      <c r="D749" s="27"/>
      <c r="E749" s="8"/>
      <c r="F749" s="8"/>
      <c r="G749" s="14"/>
      <c r="H749" s="8"/>
      <c r="I749" s="8"/>
      <c r="J749" s="8"/>
      <c r="K749" s="27"/>
      <c r="L749" s="8"/>
      <c r="M749" s="27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>
      <c r="A750" s="27"/>
      <c r="B750" s="27"/>
      <c r="C750" s="27"/>
      <c r="D750" s="27"/>
      <c r="E750" s="8"/>
      <c r="F750" s="8"/>
      <c r="G750" s="14"/>
      <c r="H750" s="8"/>
      <c r="I750" s="8"/>
      <c r="J750" s="8"/>
      <c r="K750" s="27"/>
      <c r="L750" s="8"/>
      <c r="M750" s="27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>
      <c r="A751" s="27"/>
      <c r="B751" s="27"/>
      <c r="C751" s="27"/>
      <c r="D751" s="27"/>
      <c r="E751" s="8"/>
      <c r="F751" s="8"/>
      <c r="G751" s="14"/>
      <c r="H751" s="8"/>
      <c r="I751" s="8"/>
      <c r="J751" s="8"/>
      <c r="K751" s="27"/>
      <c r="L751" s="8"/>
      <c r="M751" s="27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>
      <c r="A752" s="27"/>
      <c r="B752" s="27"/>
      <c r="C752" s="27"/>
      <c r="D752" s="27"/>
      <c r="E752" s="8"/>
      <c r="F752" s="8"/>
      <c r="G752" s="14"/>
      <c r="H752" s="8"/>
      <c r="I752" s="8"/>
      <c r="J752" s="8"/>
      <c r="K752" s="27"/>
      <c r="L752" s="8"/>
      <c r="M752" s="27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>
      <c r="A753" s="27"/>
      <c r="B753" s="27"/>
      <c r="C753" s="27"/>
      <c r="D753" s="27"/>
      <c r="E753" s="8"/>
      <c r="F753" s="8"/>
      <c r="G753" s="14"/>
      <c r="H753" s="8"/>
      <c r="I753" s="8"/>
      <c r="J753" s="8"/>
      <c r="K753" s="27"/>
      <c r="L753" s="8"/>
      <c r="M753" s="27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>
      <c r="A754" s="27"/>
      <c r="B754" s="27"/>
      <c r="C754" s="27"/>
      <c r="D754" s="27"/>
      <c r="E754" s="8"/>
      <c r="F754" s="8"/>
      <c r="G754" s="14"/>
      <c r="H754" s="8"/>
      <c r="I754" s="8"/>
      <c r="J754" s="8"/>
      <c r="K754" s="27"/>
      <c r="L754" s="8"/>
      <c r="M754" s="27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>
      <c r="A755" s="27"/>
      <c r="B755" s="27"/>
      <c r="C755" s="27"/>
      <c r="D755" s="27"/>
      <c r="E755" s="8"/>
      <c r="F755" s="8"/>
      <c r="G755" s="14"/>
      <c r="H755" s="8"/>
      <c r="I755" s="8"/>
      <c r="J755" s="8"/>
      <c r="K755" s="27"/>
      <c r="L755" s="8"/>
      <c r="M755" s="27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>
      <c r="A756" s="27"/>
      <c r="B756" s="27"/>
      <c r="C756" s="27"/>
      <c r="D756" s="27"/>
      <c r="E756" s="8"/>
      <c r="F756" s="8"/>
      <c r="G756" s="14"/>
      <c r="H756" s="8"/>
      <c r="I756" s="8"/>
      <c r="J756" s="8"/>
      <c r="K756" s="27"/>
      <c r="L756" s="8"/>
      <c r="M756" s="27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>
      <c r="A757" s="27"/>
      <c r="B757" s="27"/>
      <c r="C757" s="27"/>
      <c r="D757" s="27"/>
      <c r="E757" s="8"/>
      <c r="F757" s="8"/>
      <c r="G757" s="14"/>
      <c r="H757" s="8"/>
      <c r="I757" s="8"/>
      <c r="J757" s="8"/>
      <c r="K757" s="27"/>
      <c r="L757" s="8"/>
      <c r="M757" s="27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>
      <c r="A758" s="27"/>
      <c r="B758" s="27"/>
      <c r="C758" s="27"/>
      <c r="D758" s="27"/>
      <c r="E758" s="8"/>
      <c r="F758" s="8"/>
      <c r="G758" s="14"/>
      <c r="H758" s="8"/>
      <c r="I758" s="8"/>
      <c r="J758" s="8"/>
      <c r="K758" s="27"/>
      <c r="L758" s="8"/>
      <c r="M758" s="27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>
      <c r="A759" s="27"/>
      <c r="B759" s="27"/>
      <c r="C759" s="27"/>
      <c r="D759" s="27"/>
      <c r="E759" s="8"/>
      <c r="F759" s="8"/>
      <c r="G759" s="14"/>
      <c r="H759" s="8"/>
      <c r="I759" s="8"/>
      <c r="J759" s="8"/>
      <c r="K759" s="27"/>
      <c r="L759" s="8"/>
      <c r="M759" s="27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>
      <c r="A760" s="27"/>
      <c r="B760" s="27"/>
      <c r="C760" s="27"/>
      <c r="D760" s="27"/>
      <c r="E760" s="8"/>
      <c r="F760" s="8"/>
      <c r="G760" s="14"/>
      <c r="H760" s="8"/>
      <c r="I760" s="8"/>
      <c r="J760" s="8"/>
      <c r="K760" s="27"/>
      <c r="L760" s="8"/>
      <c r="M760" s="27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>
      <c r="A761" s="27"/>
      <c r="B761" s="27"/>
      <c r="C761" s="27"/>
      <c r="D761" s="27"/>
      <c r="E761" s="8"/>
      <c r="F761" s="8"/>
      <c r="G761" s="14"/>
      <c r="H761" s="8"/>
      <c r="I761" s="8"/>
      <c r="J761" s="8"/>
      <c r="K761" s="27"/>
      <c r="L761" s="8"/>
      <c r="M761" s="27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>
      <c r="A762" s="27"/>
      <c r="B762" s="27"/>
      <c r="C762" s="27"/>
      <c r="D762" s="27"/>
      <c r="E762" s="8"/>
      <c r="F762" s="8"/>
      <c r="G762" s="14"/>
      <c r="H762" s="8"/>
      <c r="I762" s="8"/>
      <c r="J762" s="8"/>
      <c r="K762" s="27"/>
      <c r="L762" s="8"/>
      <c r="M762" s="27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>
      <c r="A763" s="27"/>
      <c r="B763" s="27"/>
      <c r="C763" s="27"/>
      <c r="D763" s="27"/>
      <c r="E763" s="8"/>
      <c r="F763" s="8"/>
      <c r="G763" s="14"/>
      <c r="H763" s="8"/>
      <c r="I763" s="8"/>
      <c r="J763" s="8"/>
      <c r="K763" s="27"/>
      <c r="L763" s="8"/>
      <c r="M763" s="27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>
      <c r="A764" s="27"/>
      <c r="B764" s="27"/>
      <c r="C764" s="27"/>
      <c r="D764" s="27"/>
      <c r="E764" s="8"/>
      <c r="F764" s="8"/>
      <c r="G764" s="14"/>
      <c r="H764" s="8"/>
      <c r="I764" s="8"/>
      <c r="J764" s="8"/>
      <c r="K764" s="27"/>
      <c r="L764" s="8"/>
      <c r="M764" s="27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>
      <c r="A765" s="27"/>
      <c r="B765" s="27"/>
      <c r="C765" s="27"/>
      <c r="D765" s="27"/>
      <c r="E765" s="8"/>
      <c r="F765" s="8"/>
      <c r="G765" s="14"/>
      <c r="H765" s="8"/>
      <c r="I765" s="8"/>
      <c r="J765" s="8"/>
      <c r="K765" s="27"/>
      <c r="L765" s="8"/>
      <c r="M765" s="27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>
      <c r="A766" s="27"/>
      <c r="B766" s="27"/>
      <c r="C766" s="27"/>
      <c r="D766" s="27"/>
      <c r="E766" s="8"/>
      <c r="F766" s="8"/>
      <c r="G766" s="14"/>
      <c r="H766" s="8"/>
      <c r="I766" s="8"/>
      <c r="J766" s="8"/>
      <c r="K766" s="27"/>
      <c r="L766" s="8"/>
      <c r="M766" s="27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>
      <c r="A767" s="27"/>
      <c r="B767" s="27"/>
      <c r="C767" s="27"/>
      <c r="D767" s="27"/>
      <c r="E767" s="8"/>
      <c r="F767" s="8"/>
      <c r="G767" s="14"/>
      <c r="H767" s="8"/>
      <c r="I767" s="8"/>
      <c r="J767" s="8"/>
      <c r="K767" s="27"/>
      <c r="L767" s="8"/>
      <c r="M767" s="27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>
      <c r="A768" s="27"/>
      <c r="B768" s="27"/>
      <c r="C768" s="27"/>
      <c r="D768" s="27"/>
      <c r="E768" s="8"/>
      <c r="F768" s="8"/>
      <c r="G768" s="14"/>
      <c r="H768" s="8"/>
      <c r="I768" s="8"/>
      <c r="J768" s="8"/>
      <c r="K768" s="27"/>
      <c r="L768" s="8"/>
      <c r="M768" s="27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>
      <c r="A769" s="27"/>
      <c r="B769" s="27"/>
      <c r="C769" s="27"/>
      <c r="D769" s="27"/>
      <c r="E769" s="8"/>
      <c r="F769" s="8"/>
      <c r="G769" s="14"/>
      <c r="H769" s="8"/>
      <c r="I769" s="8"/>
      <c r="J769" s="8"/>
      <c r="K769" s="27"/>
      <c r="L769" s="8"/>
      <c r="M769" s="27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>
      <c r="A770" s="27"/>
      <c r="B770" s="27"/>
      <c r="C770" s="27"/>
      <c r="D770" s="27"/>
      <c r="E770" s="8"/>
      <c r="F770" s="8"/>
      <c r="G770" s="14"/>
      <c r="H770" s="8"/>
      <c r="I770" s="8"/>
      <c r="J770" s="8"/>
      <c r="K770" s="27"/>
      <c r="L770" s="8"/>
      <c r="M770" s="27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>
      <c r="A771" s="27"/>
      <c r="B771" s="27"/>
      <c r="C771" s="27"/>
      <c r="D771" s="27"/>
      <c r="E771" s="8"/>
      <c r="F771" s="8"/>
      <c r="G771" s="14"/>
      <c r="H771" s="8"/>
      <c r="I771" s="8"/>
      <c r="J771" s="8"/>
      <c r="K771" s="27"/>
      <c r="L771" s="8"/>
      <c r="M771" s="27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>
      <c r="A772" s="27"/>
      <c r="B772" s="27"/>
      <c r="C772" s="27"/>
      <c r="D772" s="27"/>
      <c r="E772" s="8"/>
      <c r="F772" s="8"/>
      <c r="G772" s="14"/>
      <c r="H772" s="8"/>
      <c r="I772" s="8"/>
      <c r="J772" s="8"/>
      <c r="K772" s="27"/>
      <c r="L772" s="8"/>
      <c r="M772" s="27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>
      <c r="A773" s="27"/>
      <c r="B773" s="27"/>
      <c r="C773" s="27"/>
      <c r="D773" s="27"/>
      <c r="E773" s="8"/>
      <c r="F773" s="8"/>
      <c r="G773" s="14"/>
      <c r="H773" s="8"/>
      <c r="I773" s="8"/>
      <c r="J773" s="8"/>
      <c r="K773" s="27"/>
      <c r="L773" s="8"/>
      <c r="M773" s="27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>
      <c r="A774" s="27"/>
      <c r="B774" s="27"/>
      <c r="C774" s="27"/>
      <c r="D774" s="27"/>
      <c r="E774" s="8"/>
      <c r="F774" s="8"/>
      <c r="G774" s="14"/>
      <c r="H774" s="8"/>
      <c r="I774" s="8"/>
      <c r="J774" s="8"/>
      <c r="K774" s="27"/>
      <c r="L774" s="8"/>
      <c r="M774" s="27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>
      <c r="A775" s="27"/>
      <c r="B775" s="27"/>
      <c r="C775" s="27"/>
      <c r="D775" s="27"/>
      <c r="E775" s="8"/>
      <c r="F775" s="8"/>
      <c r="G775" s="14"/>
      <c r="H775" s="8"/>
      <c r="I775" s="8"/>
      <c r="J775" s="8"/>
      <c r="K775" s="27"/>
      <c r="L775" s="8"/>
      <c r="M775" s="27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>
      <c r="A776" s="27"/>
      <c r="B776" s="27"/>
      <c r="C776" s="27"/>
      <c r="D776" s="27"/>
      <c r="E776" s="8"/>
      <c r="F776" s="8"/>
      <c r="G776" s="14"/>
      <c r="H776" s="8"/>
      <c r="I776" s="8"/>
      <c r="J776" s="8"/>
      <c r="K776" s="27"/>
      <c r="L776" s="8"/>
      <c r="M776" s="27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>
      <c r="A777" s="27"/>
      <c r="B777" s="27"/>
      <c r="C777" s="27"/>
      <c r="D777" s="27"/>
      <c r="E777" s="8"/>
      <c r="F777" s="8"/>
      <c r="G777" s="14"/>
      <c r="H777" s="8"/>
      <c r="I777" s="8"/>
      <c r="J777" s="8"/>
      <c r="K777" s="27"/>
      <c r="L777" s="8"/>
      <c r="M777" s="27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>
      <c r="A778" s="27"/>
      <c r="B778" s="27"/>
      <c r="C778" s="27"/>
      <c r="D778" s="27"/>
      <c r="E778" s="8"/>
      <c r="F778" s="8"/>
      <c r="G778" s="14"/>
      <c r="H778" s="8"/>
      <c r="I778" s="8"/>
      <c r="J778" s="8"/>
      <c r="K778" s="27"/>
      <c r="L778" s="8"/>
      <c r="M778" s="27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>
      <c r="A779" s="27"/>
      <c r="B779" s="27"/>
      <c r="C779" s="27"/>
      <c r="D779" s="27"/>
      <c r="E779" s="8"/>
      <c r="F779" s="8"/>
      <c r="G779" s="14"/>
      <c r="H779" s="8"/>
      <c r="I779" s="8"/>
      <c r="J779" s="8"/>
      <c r="K779" s="27"/>
      <c r="L779" s="8"/>
      <c r="M779" s="27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>
      <c r="A780" s="27"/>
      <c r="B780" s="27"/>
      <c r="C780" s="27"/>
      <c r="D780" s="27"/>
      <c r="E780" s="8"/>
      <c r="F780" s="8"/>
      <c r="G780" s="14"/>
      <c r="H780" s="8"/>
      <c r="I780" s="8"/>
      <c r="J780" s="8"/>
      <c r="K780" s="27"/>
      <c r="L780" s="8"/>
      <c r="M780" s="27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>
      <c r="A781" s="27"/>
      <c r="B781" s="27"/>
      <c r="C781" s="27"/>
      <c r="D781" s="27"/>
      <c r="E781" s="8"/>
      <c r="F781" s="8"/>
      <c r="G781" s="14"/>
      <c r="H781" s="8"/>
      <c r="I781" s="8"/>
      <c r="J781" s="8"/>
      <c r="K781" s="27"/>
      <c r="L781" s="8"/>
      <c r="M781" s="27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>
      <c r="A782" s="27"/>
      <c r="B782" s="27"/>
      <c r="C782" s="27"/>
      <c r="D782" s="27"/>
      <c r="E782" s="8"/>
      <c r="F782" s="8"/>
      <c r="G782" s="14"/>
      <c r="H782" s="8"/>
      <c r="I782" s="8"/>
      <c r="J782" s="8"/>
      <c r="K782" s="27"/>
      <c r="L782" s="8"/>
      <c r="M782" s="27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>
      <c r="A783" s="27"/>
      <c r="B783" s="27"/>
      <c r="C783" s="27"/>
      <c r="D783" s="27"/>
      <c r="E783" s="8"/>
      <c r="F783" s="8"/>
      <c r="G783" s="14"/>
      <c r="H783" s="8"/>
      <c r="I783" s="8"/>
      <c r="J783" s="8"/>
      <c r="K783" s="27"/>
      <c r="L783" s="8"/>
      <c r="M783" s="27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>
      <c r="A784" s="27"/>
      <c r="B784" s="27"/>
      <c r="C784" s="27"/>
      <c r="D784" s="27"/>
      <c r="E784" s="8"/>
      <c r="F784" s="8"/>
      <c r="G784" s="14"/>
      <c r="H784" s="8"/>
      <c r="I784" s="8"/>
      <c r="J784" s="8"/>
      <c r="K784" s="27"/>
      <c r="L784" s="8"/>
      <c r="M784" s="27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>
      <c r="A785" s="27"/>
      <c r="B785" s="27"/>
      <c r="C785" s="27"/>
      <c r="D785" s="27"/>
      <c r="E785" s="8"/>
      <c r="F785" s="8"/>
      <c r="G785" s="14"/>
      <c r="H785" s="8"/>
      <c r="I785" s="8"/>
      <c r="J785" s="8"/>
      <c r="K785" s="27"/>
      <c r="L785" s="8"/>
      <c r="M785" s="27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>
      <c r="A786" s="27"/>
      <c r="B786" s="27"/>
      <c r="C786" s="27"/>
      <c r="D786" s="27"/>
      <c r="E786" s="8"/>
      <c r="F786" s="8"/>
      <c r="G786" s="14"/>
      <c r="H786" s="8"/>
      <c r="I786" s="8"/>
      <c r="J786" s="8"/>
      <c r="K786" s="27"/>
      <c r="L786" s="8"/>
      <c r="M786" s="27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>
      <c r="A787" s="27"/>
      <c r="B787" s="27"/>
      <c r="C787" s="27"/>
      <c r="D787" s="27"/>
      <c r="E787" s="8"/>
      <c r="F787" s="8"/>
      <c r="G787" s="14"/>
      <c r="H787" s="8"/>
      <c r="I787" s="8"/>
      <c r="J787" s="8"/>
      <c r="K787" s="27"/>
      <c r="L787" s="8"/>
      <c r="M787" s="27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>
      <c r="A788" s="27"/>
      <c r="B788" s="27"/>
      <c r="C788" s="27"/>
      <c r="D788" s="27"/>
      <c r="E788" s="8"/>
      <c r="F788" s="8"/>
      <c r="G788" s="14"/>
      <c r="H788" s="8"/>
      <c r="I788" s="8"/>
      <c r="J788" s="8"/>
      <c r="K788" s="27"/>
      <c r="L788" s="8"/>
      <c r="M788" s="27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>
      <c r="A789" s="27"/>
      <c r="B789" s="27"/>
      <c r="C789" s="27"/>
      <c r="D789" s="27"/>
      <c r="E789" s="8"/>
      <c r="F789" s="8"/>
      <c r="G789" s="14"/>
      <c r="H789" s="8"/>
      <c r="I789" s="8"/>
      <c r="J789" s="8"/>
      <c r="K789" s="27"/>
      <c r="L789" s="8"/>
      <c r="M789" s="27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>
      <c r="A790" s="27"/>
      <c r="B790" s="27"/>
      <c r="C790" s="27"/>
      <c r="D790" s="27"/>
      <c r="E790" s="8"/>
      <c r="F790" s="8"/>
      <c r="G790" s="14"/>
      <c r="H790" s="8"/>
      <c r="I790" s="8"/>
      <c r="J790" s="8"/>
      <c r="K790" s="27"/>
      <c r="L790" s="8"/>
      <c r="M790" s="27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>
      <c r="A791" s="27"/>
      <c r="B791" s="27"/>
      <c r="C791" s="27"/>
      <c r="D791" s="27"/>
      <c r="E791" s="8"/>
      <c r="F791" s="8"/>
      <c r="G791" s="14"/>
      <c r="H791" s="8"/>
      <c r="I791" s="8"/>
      <c r="J791" s="8"/>
      <c r="K791" s="27"/>
      <c r="L791" s="8"/>
      <c r="M791" s="27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>
      <c r="A792" s="27"/>
      <c r="B792" s="27"/>
      <c r="C792" s="27"/>
      <c r="D792" s="27"/>
      <c r="E792" s="8"/>
      <c r="F792" s="8"/>
      <c r="G792" s="14"/>
      <c r="H792" s="8"/>
      <c r="I792" s="8"/>
      <c r="J792" s="8"/>
      <c r="K792" s="27"/>
      <c r="L792" s="8"/>
      <c r="M792" s="27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>
      <c r="A793" s="27"/>
      <c r="B793" s="27"/>
      <c r="C793" s="27"/>
      <c r="D793" s="27"/>
      <c r="E793" s="8"/>
      <c r="F793" s="8"/>
      <c r="G793" s="14"/>
      <c r="H793" s="8"/>
      <c r="I793" s="8"/>
      <c r="J793" s="8"/>
      <c r="K793" s="27"/>
      <c r="L793" s="8"/>
      <c r="M793" s="27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>
      <c r="A794" s="27"/>
      <c r="B794" s="27"/>
      <c r="C794" s="27"/>
      <c r="D794" s="27"/>
      <c r="E794" s="8"/>
      <c r="F794" s="8"/>
      <c r="G794" s="14"/>
      <c r="H794" s="8"/>
      <c r="I794" s="8"/>
      <c r="J794" s="8"/>
      <c r="K794" s="27"/>
      <c r="L794" s="8"/>
      <c r="M794" s="27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>
      <c r="A795" s="27"/>
      <c r="B795" s="27"/>
      <c r="C795" s="27"/>
      <c r="D795" s="27"/>
      <c r="E795" s="8"/>
      <c r="F795" s="8"/>
      <c r="G795" s="14"/>
      <c r="H795" s="8"/>
      <c r="I795" s="8"/>
      <c r="J795" s="8"/>
      <c r="K795" s="27"/>
      <c r="L795" s="8"/>
      <c r="M795" s="27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>
      <c r="A796" s="27"/>
      <c r="B796" s="27"/>
      <c r="C796" s="27"/>
      <c r="D796" s="27"/>
      <c r="E796" s="8"/>
      <c r="F796" s="8"/>
      <c r="G796" s="14"/>
      <c r="H796" s="8"/>
      <c r="I796" s="8"/>
      <c r="J796" s="8"/>
      <c r="K796" s="27"/>
      <c r="L796" s="8"/>
      <c r="M796" s="27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>
      <c r="A797" s="27"/>
      <c r="B797" s="27"/>
      <c r="C797" s="27"/>
      <c r="D797" s="27"/>
      <c r="E797" s="8"/>
      <c r="F797" s="8"/>
      <c r="G797" s="14"/>
      <c r="H797" s="8"/>
      <c r="I797" s="8"/>
      <c r="J797" s="8"/>
      <c r="K797" s="27"/>
      <c r="L797" s="8"/>
      <c r="M797" s="27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>
      <c r="A798" s="27"/>
      <c r="B798" s="27"/>
      <c r="C798" s="27"/>
      <c r="D798" s="27"/>
      <c r="E798" s="8"/>
      <c r="F798" s="8"/>
      <c r="G798" s="14"/>
      <c r="H798" s="8"/>
      <c r="I798" s="8"/>
      <c r="J798" s="8"/>
      <c r="K798" s="27"/>
      <c r="L798" s="8"/>
      <c r="M798" s="27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>
      <c r="A799" s="27"/>
      <c r="B799" s="27"/>
      <c r="C799" s="27"/>
      <c r="D799" s="27"/>
      <c r="E799" s="8"/>
      <c r="F799" s="8"/>
      <c r="G799" s="14"/>
      <c r="H799" s="8"/>
      <c r="I799" s="8"/>
      <c r="J799" s="8"/>
      <c r="K799" s="27"/>
      <c r="L799" s="8"/>
      <c r="M799" s="27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>
      <c r="A800" s="27"/>
      <c r="B800" s="27"/>
      <c r="C800" s="27"/>
      <c r="D800" s="27"/>
      <c r="E800" s="8"/>
      <c r="F800" s="8"/>
      <c r="G800" s="14"/>
      <c r="H800" s="8"/>
      <c r="I800" s="8"/>
      <c r="J800" s="8"/>
      <c r="K800" s="27"/>
      <c r="L800" s="8"/>
      <c r="M800" s="27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>
      <c r="A801" s="27"/>
      <c r="B801" s="27"/>
      <c r="C801" s="27"/>
      <c r="D801" s="27"/>
      <c r="E801" s="8"/>
      <c r="F801" s="8"/>
      <c r="G801" s="14"/>
      <c r="H801" s="8"/>
      <c r="I801" s="8"/>
      <c r="J801" s="8"/>
      <c r="K801" s="27"/>
      <c r="L801" s="8"/>
      <c r="M801" s="27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>
      <c r="A802" s="27"/>
      <c r="B802" s="27"/>
      <c r="C802" s="27"/>
      <c r="D802" s="27"/>
      <c r="E802" s="8"/>
      <c r="F802" s="8"/>
      <c r="G802" s="14"/>
      <c r="H802" s="8"/>
      <c r="I802" s="8"/>
      <c r="J802" s="8"/>
      <c r="K802" s="27"/>
      <c r="L802" s="8"/>
      <c r="M802" s="27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>
      <c r="A803" s="27"/>
      <c r="B803" s="27"/>
      <c r="C803" s="27"/>
      <c r="D803" s="27"/>
      <c r="E803" s="8"/>
      <c r="F803" s="8"/>
      <c r="G803" s="14"/>
      <c r="H803" s="8"/>
      <c r="I803" s="8"/>
      <c r="J803" s="8"/>
      <c r="K803" s="27"/>
      <c r="L803" s="8"/>
      <c r="M803" s="27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>
      <c r="A804" s="27"/>
      <c r="B804" s="27"/>
      <c r="C804" s="27"/>
      <c r="D804" s="27"/>
      <c r="E804" s="8"/>
      <c r="F804" s="8"/>
      <c r="G804" s="14"/>
      <c r="H804" s="8"/>
      <c r="I804" s="8"/>
      <c r="J804" s="8"/>
      <c r="K804" s="27"/>
      <c r="L804" s="8"/>
      <c r="M804" s="27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>
      <c r="A805" s="27"/>
      <c r="B805" s="27"/>
      <c r="C805" s="27"/>
      <c r="D805" s="27"/>
      <c r="E805" s="8"/>
      <c r="F805" s="8"/>
      <c r="G805" s="14"/>
      <c r="H805" s="8"/>
      <c r="I805" s="8"/>
      <c r="J805" s="8"/>
      <c r="K805" s="27"/>
      <c r="L805" s="8"/>
      <c r="M805" s="27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>
      <c r="A806" s="27"/>
      <c r="B806" s="27"/>
      <c r="C806" s="27"/>
      <c r="D806" s="27"/>
      <c r="E806" s="8"/>
      <c r="F806" s="8"/>
      <c r="G806" s="14"/>
      <c r="H806" s="8"/>
      <c r="I806" s="8"/>
      <c r="J806" s="8"/>
      <c r="K806" s="27"/>
      <c r="L806" s="8"/>
      <c r="M806" s="27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>
      <c r="A807" s="27"/>
      <c r="B807" s="27"/>
      <c r="C807" s="27"/>
      <c r="D807" s="27"/>
      <c r="E807" s="8"/>
      <c r="F807" s="8"/>
      <c r="G807" s="14"/>
      <c r="H807" s="8"/>
      <c r="I807" s="8"/>
      <c r="J807" s="8"/>
      <c r="K807" s="27"/>
      <c r="L807" s="8"/>
      <c r="M807" s="27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>
      <c r="A808" s="27"/>
      <c r="B808" s="27"/>
      <c r="C808" s="27"/>
      <c r="D808" s="27"/>
      <c r="E808" s="8"/>
      <c r="F808" s="8"/>
      <c r="G808" s="14"/>
      <c r="H808" s="8"/>
      <c r="I808" s="8"/>
      <c r="J808" s="8"/>
      <c r="K808" s="27"/>
      <c r="L808" s="8"/>
      <c r="M808" s="27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>
      <c r="A809" s="27"/>
      <c r="B809" s="27"/>
      <c r="C809" s="27"/>
      <c r="D809" s="27"/>
      <c r="E809" s="8"/>
      <c r="F809" s="8"/>
      <c r="G809" s="14"/>
      <c r="H809" s="8"/>
      <c r="I809" s="8"/>
      <c r="J809" s="8"/>
      <c r="K809" s="27"/>
      <c r="L809" s="8"/>
      <c r="M809" s="27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>
      <c r="A810" s="27"/>
      <c r="B810" s="27"/>
      <c r="C810" s="27"/>
      <c r="D810" s="27"/>
      <c r="E810" s="8"/>
      <c r="F810" s="8"/>
      <c r="G810" s="14"/>
      <c r="H810" s="8"/>
      <c r="I810" s="8"/>
      <c r="J810" s="8"/>
      <c r="K810" s="27"/>
      <c r="L810" s="8"/>
      <c r="M810" s="27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>
      <c r="A811" s="27"/>
      <c r="B811" s="27"/>
      <c r="C811" s="27"/>
      <c r="D811" s="27"/>
      <c r="E811" s="8"/>
      <c r="F811" s="8"/>
      <c r="G811" s="14"/>
      <c r="H811" s="8"/>
      <c r="I811" s="8"/>
      <c r="J811" s="8"/>
      <c r="K811" s="27"/>
      <c r="L811" s="8"/>
      <c r="M811" s="27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>
      <c r="A812" s="27"/>
      <c r="B812" s="27"/>
      <c r="C812" s="27"/>
      <c r="D812" s="27"/>
      <c r="E812" s="8"/>
      <c r="F812" s="8"/>
      <c r="G812" s="14"/>
      <c r="H812" s="8"/>
      <c r="I812" s="8"/>
      <c r="J812" s="8"/>
      <c r="K812" s="27"/>
      <c r="L812" s="8"/>
      <c r="M812" s="27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>
      <c r="A813" s="27"/>
      <c r="B813" s="27"/>
      <c r="C813" s="27"/>
      <c r="D813" s="27"/>
      <c r="E813" s="8"/>
      <c r="F813" s="8"/>
      <c r="G813" s="14"/>
      <c r="H813" s="8"/>
      <c r="I813" s="8"/>
      <c r="J813" s="8"/>
      <c r="K813" s="27"/>
      <c r="L813" s="8"/>
      <c r="M813" s="27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>
      <c r="A814" s="27"/>
      <c r="B814" s="27"/>
      <c r="C814" s="27"/>
      <c r="D814" s="27"/>
      <c r="E814" s="8"/>
      <c r="F814" s="8"/>
      <c r="G814" s="14"/>
      <c r="H814" s="8"/>
      <c r="I814" s="8"/>
      <c r="J814" s="8"/>
      <c r="K814" s="27"/>
      <c r="L814" s="8"/>
      <c r="M814" s="27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>
      <c r="A815" s="27"/>
      <c r="B815" s="27"/>
      <c r="C815" s="27"/>
      <c r="D815" s="27"/>
      <c r="E815" s="8"/>
      <c r="F815" s="8"/>
      <c r="G815" s="14"/>
      <c r="H815" s="8"/>
      <c r="I815" s="8"/>
      <c r="J815" s="8"/>
      <c r="K815" s="27"/>
      <c r="L815" s="8"/>
      <c r="M815" s="27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>
      <c r="A816" s="27"/>
      <c r="B816" s="27"/>
      <c r="C816" s="27"/>
      <c r="D816" s="27"/>
      <c r="E816" s="8"/>
      <c r="F816" s="8"/>
      <c r="G816" s="14"/>
      <c r="H816" s="8"/>
      <c r="I816" s="8"/>
      <c r="J816" s="8"/>
      <c r="K816" s="27"/>
      <c r="L816" s="8"/>
      <c r="M816" s="27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>
      <c r="A817" s="27"/>
      <c r="B817" s="27"/>
      <c r="C817" s="27"/>
      <c r="D817" s="27"/>
      <c r="E817" s="8"/>
      <c r="F817" s="8"/>
      <c r="G817" s="14"/>
      <c r="H817" s="8"/>
      <c r="I817" s="8"/>
      <c r="J817" s="8"/>
      <c r="K817" s="27"/>
      <c r="L817" s="8"/>
      <c r="M817" s="27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>
      <c r="A818" s="27"/>
      <c r="B818" s="27"/>
      <c r="C818" s="27"/>
      <c r="D818" s="27"/>
      <c r="E818" s="8"/>
      <c r="F818" s="8"/>
      <c r="G818" s="14"/>
      <c r="H818" s="8"/>
      <c r="I818" s="8"/>
      <c r="J818" s="8"/>
      <c r="K818" s="27"/>
      <c r="L818" s="8"/>
      <c r="M818" s="27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>
      <c r="A819" s="27"/>
      <c r="B819" s="27"/>
      <c r="C819" s="27"/>
      <c r="D819" s="27"/>
      <c r="E819" s="8"/>
      <c r="F819" s="8"/>
      <c r="G819" s="14"/>
      <c r="H819" s="8"/>
      <c r="I819" s="8"/>
      <c r="J819" s="8"/>
      <c r="K819" s="27"/>
      <c r="L819" s="8"/>
      <c r="M819" s="27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>
      <c r="A820" s="27"/>
      <c r="B820" s="27"/>
      <c r="C820" s="27"/>
      <c r="D820" s="27"/>
      <c r="E820" s="8"/>
      <c r="F820" s="8"/>
      <c r="G820" s="14"/>
      <c r="H820" s="8"/>
      <c r="I820" s="8"/>
      <c r="J820" s="8"/>
      <c r="K820" s="27"/>
      <c r="L820" s="8"/>
      <c r="M820" s="27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>
      <c r="A821" s="27"/>
      <c r="B821" s="27"/>
      <c r="C821" s="27"/>
      <c r="D821" s="27"/>
      <c r="E821" s="8"/>
      <c r="F821" s="8"/>
      <c r="G821" s="14"/>
      <c r="H821" s="8"/>
      <c r="I821" s="8"/>
      <c r="J821" s="8"/>
      <c r="K821" s="27"/>
      <c r="L821" s="8"/>
      <c r="M821" s="27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>
      <c r="A822" s="27"/>
      <c r="B822" s="27"/>
      <c r="C822" s="27"/>
      <c r="D822" s="27"/>
      <c r="E822" s="8"/>
      <c r="F822" s="8"/>
      <c r="G822" s="14"/>
      <c r="H822" s="8"/>
      <c r="I822" s="8"/>
      <c r="J822" s="8"/>
      <c r="K822" s="27"/>
      <c r="L822" s="8"/>
      <c r="M822" s="27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>
      <c r="A823" s="27"/>
      <c r="B823" s="27"/>
      <c r="C823" s="27"/>
      <c r="D823" s="27"/>
      <c r="E823" s="8"/>
      <c r="F823" s="8"/>
      <c r="G823" s="14"/>
      <c r="H823" s="8"/>
      <c r="I823" s="8"/>
      <c r="J823" s="8"/>
      <c r="K823" s="27"/>
      <c r="L823" s="8"/>
      <c r="M823" s="27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>
      <c r="A824" s="27"/>
      <c r="B824" s="27"/>
      <c r="C824" s="27"/>
      <c r="D824" s="27"/>
      <c r="E824" s="8"/>
      <c r="F824" s="8"/>
      <c r="G824" s="14"/>
      <c r="H824" s="8"/>
      <c r="I824" s="8"/>
      <c r="J824" s="8"/>
      <c r="K824" s="27"/>
      <c r="L824" s="8"/>
      <c r="M824" s="27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>
      <c r="A825" s="27"/>
      <c r="B825" s="27"/>
      <c r="C825" s="27"/>
      <c r="D825" s="27"/>
      <c r="E825" s="8"/>
      <c r="F825" s="8"/>
      <c r="G825" s="14"/>
      <c r="H825" s="8"/>
      <c r="I825" s="8"/>
      <c r="J825" s="8"/>
      <c r="K825" s="27"/>
      <c r="L825" s="8"/>
      <c r="M825" s="27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>
      <c r="A826" s="27"/>
      <c r="B826" s="27"/>
      <c r="C826" s="27"/>
      <c r="D826" s="27"/>
      <c r="E826" s="8"/>
      <c r="F826" s="8"/>
      <c r="G826" s="14"/>
      <c r="H826" s="8"/>
      <c r="I826" s="8"/>
      <c r="J826" s="8"/>
      <c r="K826" s="27"/>
      <c r="L826" s="8"/>
      <c r="M826" s="27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>
      <c r="A827" s="27"/>
      <c r="B827" s="27"/>
      <c r="C827" s="27"/>
      <c r="D827" s="27"/>
      <c r="E827" s="8"/>
      <c r="F827" s="8"/>
      <c r="G827" s="14"/>
      <c r="H827" s="8"/>
      <c r="I827" s="8"/>
      <c r="J827" s="8"/>
      <c r="K827" s="27"/>
      <c r="L827" s="8"/>
      <c r="M827" s="27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>
      <c r="A828" s="27"/>
      <c r="B828" s="27"/>
      <c r="C828" s="27"/>
      <c r="D828" s="27"/>
      <c r="E828" s="8"/>
      <c r="F828" s="8"/>
      <c r="G828" s="14"/>
      <c r="H828" s="8"/>
      <c r="I828" s="8"/>
      <c r="J828" s="8"/>
      <c r="K828" s="27"/>
      <c r="L828" s="8"/>
      <c r="M828" s="27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>
      <c r="A829" s="27"/>
      <c r="B829" s="27"/>
      <c r="C829" s="27"/>
      <c r="D829" s="27"/>
      <c r="E829" s="8"/>
      <c r="F829" s="8"/>
      <c r="G829" s="14"/>
      <c r="H829" s="8"/>
      <c r="I829" s="8"/>
      <c r="J829" s="8"/>
      <c r="K829" s="27"/>
      <c r="L829" s="8"/>
      <c r="M829" s="27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>
      <c r="A830" s="27"/>
      <c r="B830" s="27"/>
      <c r="C830" s="27"/>
      <c r="D830" s="27"/>
      <c r="E830" s="8"/>
      <c r="F830" s="8"/>
      <c r="G830" s="14"/>
      <c r="H830" s="8"/>
      <c r="I830" s="8"/>
      <c r="J830" s="8"/>
      <c r="K830" s="27"/>
      <c r="L830" s="8"/>
      <c r="M830" s="27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>
      <c r="A831" s="27"/>
      <c r="B831" s="27"/>
      <c r="C831" s="27"/>
      <c r="D831" s="27"/>
      <c r="E831" s="8"/>
      <c r="F831" s="8"/>
      <c r="G831" s="14"/>
      <c r="H831" s="8"/>
      <c r="I831" s="8"/>
      <c r="J831" s="8"/>
      <c r="K831" s="27"/>
      <c r="L831" s="8"/>
      <c r="M831" s="27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>
      <c r="A832" s="27"/>
      <c r="B832" s="27"/>
      <c r="C832" s="27"/>
      <c r="D832" s="27"/>
      <c r="E832" s="8"/>
      <c r="F832" s="8"/>
      <c r="G832" s="14"/>
      <c r="H832" s="8"/>
      <c r="I832" s="8"/>
      <c r="J832" s="8"/>
      <c r="K832" s="27"/>
      <c r="L832" s="8"/>
      <c r="M832" s="27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>
      <c r="A833" s="27"/>
      <c r="B833" s="27"/>
      <c r="C833" s="27"/>
      <c r="D833" s="27"/>
      <c r="E833" s="8"/>
      <c r="F833" s="8"/>
      <c r="G833" s="14"/>
      <c r="H833" s="8"/>
      <c r="I833" s="8"/>
      <c r="J833" s="8"/>
      <c r="K833" s="27"/>
      <c r="L833" s="8"/>
      <c r="M833" s="27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>
      <c r="A834" s="27"/>
      <c r="B834" s="27"/>
      <c r="C834" s="27"/>
      <c r="D834" s="27"/>
      <c r="E834" s="8"/>
      <c r="F834" s="8"/>
      <c r="G834" s="14"/>
      <c r="H834" s="8"/>
      <c r="I834" s="8"/>
      <c r="J834" s="8"/>
      <c r="K834" s="27"/>
      <c r="L834" s="8"/>
      <c r="M834" s="27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>
      <c r="A835" s="27"/>
      <c r="B835" s="27"/>
      <c r="C835" s="27"/>
      <c r="D835" s="27"/>
      <c r="E835" s="8"/>
      <c r="F835" s="8"/>
      <c r="G835" s="14"/>
      <c r="H835" s="8"/>
      <c r="I835" s="8"/>
      <c r="J835" s="8"/>
      <c r="K835" s="27"/>
      <c r="L835" s="8"/>
      <c r="M835" s="27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>
      <c r="A836" s="27"/>
      <c r="B836" s="27"/>
      <c r="C836" s="27"/>
      <c r="D836" s="27"/>
      <c r="E836" s="8"/>
      <c r="F836" s="8"/>
      <c r="G836" s="14"/>
      <c r="H836" s="8"/>
      <c r="I836" s="8"/>
      <c r="J836" s="8"/>
      <c r="K836" s="27"/>
      <c r="L836" s="8"/>
      <c r="M836" s="27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>
      <c r="A837" s="27"/>
      <c r="B837" s="27"/>
      <c r="C837" s="27"/>
      <c r="D837" s="27"/>
      <c r="E837" s="8"/>
      <c r="F837" s="8"/>
      <c r="G837" s="14"/>
      <c r="H837" s="8"/>
      <c r="I837" s="8"/>
      <c r="J837" s="8"/>
      <c r="K837" s="27"/>
      <c r="L837" s="8"/>
      <c r="M837" s="27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>
      <c r="A838" s="27"/>
      <c r="B838" s="27"/>
      <c r="C838" s="27"/>
      <c r="D838" s="27"/>
      <c r="E838" s="8"/>
      <c r="F838" s="8"/>
      <c r="G838" s="14"/>
      <c r="H838" s="8"/>
      <c r="I838" s="8"/>
      <c r="J838" s="8"/>
      <c r="K838" s="27"/>
      <c r="L838" s="8"/>
      <c r="M838" s="27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>
      <c r="A839" s="27"/>
      <c r="B839" s="27"/>
      <c r="C839" s="27"/>
      <c r="D839" s="27"/>
      <c r="E839" s="8"/>
      <c r="F839" s="8"/>
      <c r="G839" s="14"/>
      <c r="H839" s="8"/>
      <c r="I839" s="8"/>
      <c r="J839" s="8"/>
      <c r="K839" s="27"/>
      <c r="L839" s="8"/>
      <c r="M839" s="27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>
      <c r="A840" s="27"/>
      <c r="B840" s="27"/>
      <c r="C840" s="27"/>
      <c r="D840" s="27"/>
      <c r="E840" s="8"/>
      <c r="F840" s="8"/>
      <c r="G840" s="14"/>
      <c r="H840" s="8"/>
      <c r="I840" s="8"/>
      <c r="J840" s="8"/>
      <c r="K840" s="27"/>
      <c r="L840" s="8"/>
      <c r="M840" s="27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>
      <c r="A841" s="27"/>
      <c r="B841" s="27"/>
      <c r="C841" s="27"/>
      <c r="D841" s="27"/>
      <c r="E841" s="8"/>
      <c r="F841" s="8"/>
      <c r="G841" s="14"/>
      <c r="H841" s="8"/>
      <c r="I841" s="8"/>
      <c r="J841" s="8"/>
      <c r="K841" s="27"/>
      <c r="L841" s="8"/>
      <c r="M841" s="27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>
      <c r="A842" s="27"/>
      <c r="B842" s="27"/>
      <c r="C842" s="27"/>
      <c r="D842" s="27"/>
      <c r="E842" s="8"/>
      <c r="F842" s="8"/>
      <c r="G842" s="14"/>
      <c r="H842" s="8"/>
      <c r="I842" s="8"/>
      <c r="J842" s="8"/>
      <c r="K842" s="27"/>
      <c r="L842" s="8"/>
      <c r="M842" s="27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>
      <c r="A843" s="27"/>
      <c r="B843" s="27"/>
      <c r="C843" s="27"/>
      <c r="D843" s="27"/>
      <c r="E843" s="8"/>
      <c r="F843" s="8"/>
      <c r="G843" s="14"/>
      <c r="H843" s="8"/>
      <c r="I843" s="8"/>
      <c r="J843" s="8"/>
      <c r="K843" s="27"/>
      <c r="L843" s="8"/>
      <c r="M843" s="27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>
      <c r="A844" s="27"/>
      <c r="B844" s="27"/>
      <c r="C844" s="27"/>
      <c r="D844" s="27"/>
      <c r="E844" s="8"/>
      <c r="F844" s="8"/>
      <c r="G844" s="14"/>
      <c r="H844" s="8"/>
      <c r="I844" s="8"/>
      <c r="J844" s="8"/>
      <c r="K844" s="27"/>
      <c r="L844" s="8"/>
      <c r="M844" s="27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>
      <c r="A845" s="27"/>
      <c r="B845" s="27"/>
      <c r="C845" s="27"/>
      <c r="D845" s="27"/>
      <c r="E845" s="8"/>
      <c r="F845" s="8"/>
      <c r="G845" s="14"/>
      <c r="H845" s="8"/>
      <c r="I845" s="8"/>
      <c r="J845" s="8"/>
      <c r="K845" s="27"/>
      <c r="L845" s="8"/>
      <c r="M845" s="27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>
      <c r="A846" s="27"/>
      <c r="B846" s="27"/>
      <c r="C846" s="27"/>
      <c r="D846" s="27"/>
      <c r="E846" s="8"/>
      <c r="F846" s="8"/>
      <c r="G846" s="14"/>
      <c r="H846" s="8"/>
      <c r="I846" s="8"/>
      <c r="J846" s="8"/>
      <c r="K846" s="27"/>
      <c r="L846" s="8"/>
      <c r="M846" s="27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>
      <c r="A847" s="27"/>
      <c r="B847" s="27"/>
      <c r="C847" s="27"/>
      <c r="D847" s="27"/>
      <c r="E847" s="8"/>
      <c r="F847" s="8"/>
      <c r="G847" s="14"/>
      <c r="H847" s="8"/>
      <c r="I847" s="8"/>
      <c r="J847" s="8"/>
      <c r="K847" s="27"/>
      <c r="L847" s="8"/>
      <c r="M847" s="27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>
      <c r="A848" s="27"/>
      <c r="B848" s="27"/>
      <c r="C848" s="27"/>
      <c r="D848" s="27"/>
      <c r="E848" s="8"/>
      <c r="F848" s="8"/>
      <c r="G848" s="14"/>
      <c r="H848" s="8"/>
      <c r="I848" s="8"/>
      <c r="J848" s="8"/>
      <c r="K848" s="27"/>
      <c r="L848" s="8"/>
      <c r="M848" s="27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>
      <c r="A849" s="27"/>
      <c r="B849" s="27"/>
      <c r="C849" s="27"/>
      <c r="D849" s="27"/>
      <c r="E849" s="8"/>
      <c r="F849" s="8"/>
      <c r="G849" s="14"/>
      <c r="H849" s="8"/>
      <c r="I849" s="8"/>
      <c r="J849" s="8"/>
      <c r="K849" s="27"/>
      <c r="L849" s="8"/>
      <c r="M849" s="27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>
      <c r="A850" s="27"/>
      <c r="B850" s="27"/>
      <c r="C850" s="27"/>
      <c r="D850" s="27"/>
      <c r="E850" s="8"/>
      <c r="F850" s="8"/>
      <c r="G850" s="14"/>
      <c r="H850" s="8"/>
      <c r="I850" s="8"/>
      <c r="J850" s="8"/>
      <c r="K850" s="27"/>
      <c r="L850" s="8"/>
      <c r="M850" s="27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>
      <c r="A851" s="27"/>
      <c r="B851" s="27"/>
      <c r="C851" s="27"/>
      <c r="D851" s="27"/>
      <c r="E851" s="8"/>
      <c r="F851" s="8"/>
      <c r="G851" s="14"/>
      <c r="H851" s="8"/>
      <c r="I851" s="8"/>
      <c r="J851" s="8"/>
      <c r="K851" s="27"/>
      <c r="L851" s="8"/>
      <c r="M851" s="27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>
      <c r="A852" s="27"/>
      <c r="B852" s="27"/>
      <c r="C852" s="27"/>
      <c r="D852" s="27"/>
      <c r="E852" s="8"/>
      <c r="F852" s="8"/>
      <c r="G852" s="14"/>
      <c r="H852" s="8"/>
      <c r="I852" s="8"/>
      <c r="J852" s="8"/>
      <c r="K852" s="27"/>
      <c r="L852" s="8"/>
      <c r="M852" s="27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>
      <c r="A853" s="27"/>
      <c r="B853" s="27"/>
      <c r="C853" s="27"/>
      <c r="D853" s="27"/>
      <c r="E853" s="8"/>
      <c r="F853" s="8"/>
      <c r="G853" s="14"/>
      <c r="H853" s="8"/>
      <c r="I853" s="8"/>
      <c r="J853" s="8"/>
      <c r="K853" s="27"/>
      <c r="L853" s="8"/>
      <c r="M853" s="27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>
      <c r="A854" s="27"/>
      <c r="B854" s="27"/>
      <c r="C854" s="27"/>
      <c r="D854" s="27"/>
      <c r="E854" s="8"/>
      <c r="F854" s="8"/>
      <c r="G854" s="14"/>
      <c r="H854" s="8"/>
      <c r="I854" s="8"/>
      <c r="J854" s="8"/>
      <c r="K854" s="27"/>
      <c r="L854" s="8"/>
      <c r="M854" s="27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>
      <c r="A855" s="27"/>
      <c r="B855" s="27"/>
      <c r="C855" s="27"/>
      <c r="D855" s="27"/>
      <c r="E855" s="8"/>
      <c r="F855" s="8"/>
      <c r="G855" s="14"/>
      <c r="H855" s="8"/>
      <c r="I855" s="8"/>
      <c r="J855" s="8"/>
      <c r="K855" s="27"/>
      <c r="L855" s="8"/>
      <c r="M855" s="27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>
      <c r="A856" s="27"/>
      <c r="B856" s="27"/>
      <c r="C856" s="27"/>
      <c r="D856" s="27"/>
      <c r="E856" s="8"/>
      <c r="F856" s="8"/>
      <c r="G856" s="14"/>
      <c r="H856" s="8"/>
      <c r="I856" s="8"/>
      <c r="J856" s="8"/>
      <c r="K856" s="27"/>
      <c r="L856" s="8"/>
      <c r="M856" s="27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>
      <c r="A857" s="27"/>
      <c r="B857" s="27"/>
      <c r="C857" s="27"/>
      <c r="D857" s="27"/>
      <c r="E857" s="8"/>
      <c r="F857" s="8"/>
      <c r="G857" s="14"/>
      <c r="H857" s="8"/>
      <c r="I857" s="8"/>
      <c r="J857" s="8"/>
      <c r="K857" s="27"/>
      <c r="L857" s="8"/>
      <c r="M857" s="27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>
      <c r="A858" s="27"/>
      <c r="B858" s="27"/>
      <c r="C858" s="27"/>
      <c r="D858" s="27"/>
      <c r="E858" s="8"/>
      <c r="F858" s="8"/>
      <c r="G858" s="14"/>
      <c r="H858" s="8"/>
      <c r="I858" s="8"/>
      <c r="J858" s="8"/>
      <c r="K858" s="27"/>
      <c r="L858" s="8"/>
      <c r="M858" s="27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>
      <c r="A859" s="27"/>
      <c r="B859" s="27"/>
      <c r="C859" s="27"/>
      <c r="D859" s="27"/>
      <c r="E859" s="8"/>
      <c r="F859" s="8"/>
      <c r="G859" s="14"/>
      <c r="H859" s="8"/>
      <c r="I859" s="8"/>
      <c r="J859" s="8"/>
      <c r="K859" s="27"/>
      <c r="L859" s="8"/>
      <c r="M859" s="27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>
      <c r="A860" s="27"/>
      <c r="B860" s="27"/>
      <c r="C860" s="27"/>
      <c r="D860" s="27"/>
      <c r="E860" s="8"/>
      <c r="F860" s="8"/>
      <c r="G860" s="14"/>
      <c r="H860" s="8"/>
      <c r="I860" s="8"/>
      <c r="J860" s="8"/>
      <c r="K860" s="27"/>
      <c r="L860" s="8"/>
      <c r="M860" s="27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>
      <c r="A861" s="27"/>
      <c r="B861" s="27"/>
      <c r="C861" s="27"/>
      <c r="D861" s="27"/>
      <c r="E861" s="8"/>
      <c r="F861" s="8"/>
      <c r="G861" s="14"/>
      <c r="H861" s="8"/>
      <c r="I861" s="8"/>
      <c r="J861" s="8"/>
      <c r="K861" s="27"/>
      <c r="L861" s="8"/>
      <c r="M861" s="27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>
      <c r="A862" s="27"/>
      <c r="B862" s="27"/>
      <c r="C862" s="27"/>
      <c r="D862" s="27"/>
      <c r="E862" s="8"/>
      <c r="F862" s="8"/>
      <c r="G862" s="14"/>
      <c r="H862" s="8"/>
      <c r="I862" s="8"/>
      <c r="J862" s="8"/>
      <c r="K862" s="27"/>
      <c r="L862" s="8"/>
      <c r="M862" s="27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>
      <c r="A863" s="27"/>
      <c r="B863" s="27"/>
      <c r="C863" s="27"/>
      <c r="D863" s="27"/>
      <c r="E863" s="8"/>
      <c r="F863" s="8"/>
      <c r="G863" s="14"/>
      <c r="H863" s="8"/>
      <c r="I863" s="8"/>
      <c r="J863" s="8"/>
      <c r="K863" s="27"/>
      <c r="L863" s="8"/>
      <c r="M863" s="27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>
      <c r="A864" s="27"/>
      <c r="B864" s="27"/>
      <c r="C864" s="27"/>
      <c r="D864" s="27"/>
      <c r="E864" s="8"/>
      <c r="F864" s="8"/>
      <c r="G864" s="14"/>
      <c r="H864" s="8"/>
      <c r="I864" s="8"/>
      <c r="J864" s="8"/>
      <c r="K864" s="27"/>
      <c r="L864" s="8"/>
      <c r="M864" s="27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>
      <c r="A865" s="27"/>
      <c r="B865" s="27"/>
      <c r="C865" s="27"/>
      <c r="D865" s="27"/>
      <c r="E865" s="8"/>
      <c r="F865" s="8"/>
      <c r="G865" s="14"/>
      <c r="H865" s="8"/>
      <c r="I865" s="8"/>
      <c r="J865" s="8"/>
      <c r="K865" s="27"/>
      <c r="L865" s="8"/>
      <c r="M865" s="27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>
      <c r="A866" s="27"/>
      <c r="B866" s="27"/>
      <c r="C866" s="27"/>
      <c r="D866" s="27"/>
      <c r="E866" s="8"/>
      <c r="F866" s="8"/>
      <c r="G866" s="14"/>
      <c r="H866" s="8"/>
      <c r="I866" s="8"/>
      <c r="J866" s="8"/>
      <c r="K866" s="27"/>
      <c r="L866" s="8"/>
      <c r="M866" s="27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>
      <c r="A867" s="27"/>
      <c r="B867" s="27"/>
      <c r="C867" s="27"/>
      <c r="D867" s="27"/>
      <c r="E867" s="8"/>
      <c r="F867" s="8"/>
      <c r="G867" s="14"/>
      <c r="H867" s="8"/>
      <c r="I867" s="8"/>
      <c r="J867" s="8"/>
      <c r="K867" s="27"/>
      <c r="L867" s="8"/>
      <c r="M867" s="27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>
      <c r="A868" s="27"/>
      <c r="B868" s="27"/>
      <c r="C868" s="27"/>
      <c r="D868" s="27"/>
      <c r="E868" s="8"/>
      <c r="F868" s="8"/>
      <c r="G868" s="14"/>
      <c r="H868" s="8"/>
      <c r="I868" s="8"/>
      <c r="J868" s="8"/>
      <c r="K868" s="27"/>
      <c r="L868" s="8"/>
      <c r="M868" s="27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>
      <c r="A869" s="27"/>
      <c r="B869" s="27"/>
      <c r="C869" s="27"/>
      <c r="D869" s="27"/>
      <c r="E869" s="8"/>
      <c r="F869" s="8"/>
      <c r="G869" s="14"/>
      <c r="H869" s="8"/>
      <c r="I869" s="8"/>
      <c r="J869" s="8"/>
      <c r="K869" s="27"/>
      <c r="L869" s="8"/>
      <c r="M869" s="27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>
      <c r="A870" s="27"/>
      <c r="B870" s="27"/>
      <c r="C870" s="27"/>
      <c r="D870" s="27"/>
      <c r="E870" s="8"/>
      <c r="F870" s="8"/>
      <c r="G870" s="14"/>
      <c r="H870" s="8"/>
      <c r="I870" s="8"/>
      <c r="J870" s="8"/>
      <c r="K870" s="27"/>
      <c r="L870" s="8"/>
      <c r="M870" s="27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>
      <c r="A871" s="27"/>
      <c r="B871" s="27"/>
      <c r="C871" s="27"/>
      <c r="D871" s="27"/>
      <c r="E871" s="8"/>
      <c r="F871" s="8"/>
      <c r="G871" s="14"/>
      <c r="H871" s="8"/>
      <c r="I871" s="8"/>
      <c r="J871" s="8"/>
      <c r="K871" s="27"/>
      <c r="L871" s="8"/>
      <c r="M871" s="27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>
      <c r="A872" s="27"/>
      <c r="B872" s="27"/>
      <c r="C872" s="27"/>
      <c r="D872" s="27"/>
      <c r="E872" s="8"/>
      <c r="F872" s="8"/>
      <c r="G872" s="14"/>
      <c r="H872" s="8"/>
      <c r="I872" s="8"/>
      <c r="J872" s="8"/>
      <c r="K872" s="27"/>
      <c r="L872" s="8"/>
      <c r="M872" s="27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>
      <c r="A873" s="27"/>
      <c r="B873" s="27"/>
      <c r="C873" s="27"/>
      <c r="D873" s="27"/>
      <c r="E873" s="8"/>
      <c r="F873" s="8"/>
      <c r="G873" s="14"/>
      <c r="H873" s="8"/>
      <c r="I873" s="8"/>
      <c r="J873" s="8"/>
      <c r="K873" s="27"/>
      <c r="L873" s="8"/>
      <c r="M873" s="27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>
      <c r="A874" s="27"/>
      <c r="B874" s="27"/>
      <c r="C874" s="27"/>
      <c r="D874" s="27"/>
      <c r="E874" s="8"/>
      <c r="F874" s="8"/>
      <c r="G874" s="14"/>
      <c r="H874" s="8"/>
      <c r="I874" s="8"/>
      <c r="J874" s="8"/>
      <c r="K874" s="27"/>
      <c r="L874" s="8"/>
      <c r="M874" s="27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>
      <c r="A875" s="27"/>
      <c r="B875" s="27"/>
      <c r="C875" s="27"/>
      <c r="D875" s="27"/>
      <c r="E875" s="8"/>
      <c r="F875" s="8"/>
      <c r="G875" s="14"/>
      <c r="H875" s="8"/>
      <c r="I875" s="8"/>
      <c r="J875" s="8"/>
      <c r="K875" s="27"/>
      <c r="L875" s="8"/>
      <c r="M875" s="27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>
      <c r="A876" s="27"/>
      <c r="B876" s="27"/>
      <c r="C876" s="27"/>
      <c r="D876" s="27"/>
      <c r="E876" s="8"/>
      <c r="F876" s="8"/>
      <c r="G876" s="14"/>
      <c r="H876" s="8"/>
      <c r="I876" s="8"/>
      <c r="J876" s="8"/>
      <c r="K876" s="27"/>
      <c r="L876" s="8"/>
      <c r="M876" s="27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>
      <c r="A877" s="27"/>
      <c r="B877" s="27"/>
      <c r="C877" s="27"/>
      <c r="D877" s="27"/>
      <c r="E877" s="8"/>
      <c r="F877" s="8"/>
      <c r="G877" s="14"/>
      <c r="H877" s="8"/>
      <c r="I877" s="8"/>
      <c r="J877" s="8"/>
      <c r="K877" s="27"/>
      <c r="L877" s="8"/>
      <c r="M877" s="27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>
      <c r="A878" s="27"/>
      <c r="B878" s="27"/>
      <c r="C878" s="27"/>
      <c r="D878" s="27"/>
      <c r="E878" s="8"/>
      <c r="F878" s="8"/>
      <c r="G878" s="14"/>
      <c r="H878" s="8"/>
      <c r="I878" s="8"/>
      <c r="J878" s="8"/>
      <c r="K878" s="27"/>
      <c r="L878" s="8"/>
      <c r="M878" s="27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>
      <c r="A879" s="27"/>
      <c r="B879" s="27"/>
      <c r="C879" s="27"/>
      <c r="D879" s="27"/>
      <c r="E879" s="8"/>
      <c r="F879" s="8"/>
      <c r="G879" s="14"/>
      <c r="H879" s="8"/>
      <c r="I879" s="8"/>
      <c r="J879" s="8"/>
      <c r="K879" s="27"/>
      <c r="L879" s="8"/>
      <c r="M879" s="27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>
      <c r="A880" s="27"/>
      <c r="B880" s="27"/>
      <c r="C880" s="27"/>
      <c r="D880" s="27"/>
      <c r="E880" s="8"/>
      <c r="F880" s="8"/>
      <c r="G880" s="14"/>
      <c r="H880" s="8"/>
      <c r="I880" s="8"/>
      <c r="J880" s="8"/>
      <c r="K880" s="27"/>
      <c r="L880" s="8"/>
      <c r="M880" s="27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>
      <c r="A881" s="27"/>
      <c r="B881" s="27"/>
      <c r="C881" s="27"/>
      <c r="D881" s="27"/>
      <c r="E881" s="8"/>
      <c r="F881" s="8"/>
      <c r="G881" s="14"/>
      <c r="H881" s="8"/>
      <c r="I881" s="8"/>
      <c r="J881" s="8"/>
      <c r="K881" s="27"/>
      <c r="L881" s="8"/>
      <c r="M881" s="27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>
      <c r="A882" s="27"/>
      <c r="B882" s="27"/>
      <c r="C882" s="27"/>
      <c r="D882" s="27"/>
      <c r="E882" s="8"/>
      <c r="F882" s="8"/>
      <c r="G882" s="14"/>
      <c r="H882" s="8"/>
      <c r="I882" s="8"/>
      <c r="J882" s="8"/>
      <c r="K882" s="27"/>
      <c r="L882" s="8"/>
      <c r="M882" s="27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>
      <c r="A883" s="27"/>
      <c r="B883" s="27"/>
      <c r="C883" s="27"/>
      <c r="D883" s="27"/>
      <c r="E883" s="8"/>
      <c r="F883" s="8"/>
      <c r="G883" s="14"/>
      <c r="H883" s="8"/>
      <c r="I883" s="8"/>
      <c r="J883" s="8"/>
      <c r="K883" s="27"/>
      <c r="L883" s="8"/>
      <c r="M883" s="27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>
      <c r="A884" s="27"/>
      <c r="B884" s="27"/>
      <c r="C884" s="27"/>
      <c r="D884" s="27"/>
      <c r="E884" s="8"/>
      <c r="F884" s="8"/>
      <c r="G884" s="14"/>
      <c r="H884" s="8"/>
      <c r="I884" s="8"/>
      <c r="J884" s="8"/>
      <c r="K884" s="27"/>
      <c r="L884" s="8"/>
      <c r="M884" s="27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>
      <c r="A885" s="27"/>
      <c r="B885" s="27"/>
      <c r="C885" s="27"/>
      <c r="D885" s="27"/>
      <c r="E885" s="8"/>
      <c r="F885" s="8"/>
      <c r="G885" s="14"/>
      <c r="H885" s="8"/>
      <c r="I885" s="8"/>
      <c r="J885" s="8"/>
      <c r="K885" s="27"/>
      <c r="L885" s="8"/>
      <c r="M885" s="27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>
      <c r="A886" s="27"/>
      <c r="B886" s="27"/>
      <c r="C886" s="27"/>
      <c r="D886" s="27"/>
      <c r="E886" s="8"/>
      <c r="F886" s="8"/>
      <c r="G886" s="14"/>
      <c r="H886" s="8"/>
      <c r="I886" s="8"/>
      <c r="J886" s="8"/>
      <c r="K886" s="27"/>
      <c r="L886" s="8"/>
      <c r="M886" s="27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>
      <c r="A887" s="27"/>
      <c r="B887" s="27"/>
      <c r="C887" s="27"/>
      <c r="D887" s="27"/>
      <c r="E887" s="8"/>
      <c r="F887" s="8"/>
      <c r="G887" s="14"/>
      <c r="H887" s="8"/>
      <c r="I887" s="8"/>
      <c r="J887" s="8"/>
      <c r="K887" s="27"/>
      <c r="L887" s="8"/>
      <c r="M887" s="27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>
      <c r="A888" s="27"/>
      <c r="B888" s="27"/>
      <c r="C888" s="27"/>
      <c r="D888" s="27"/>
      <c r="E888" s="8"/>
      <c r="F888" s="8"/>
      <c r="G888" s="14"/>
      <c r="H888" s="8"/>
      <c r="I888" s="8"/>
      <c r="J888" s="8"/>
      <c r="K888" s="27"/>
      <c r="L888" s="8"/>
      <c r="M888" s="27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>
      <c r="A889" s="27"/>
      <c r="B889" s="27"/>
      <c r="C889" s="27"/>
      <c r="D889" s="27"/>
      <c r="E889" s="8"/>
      <c r="F889" s="8"/>
      <c r="G889" s="14"/>
      <c r="H889" s="8"/>
      <c r="I889" s="8"/>
      <c r="J889" s="8"/>
      <c r="K889" s="27"/>
      <c r="L889" s="8"/>
      <c r="M889" s="27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>
      <c r="A890" s="27"/>
      <c r="B890" s="27"/>
      <c r="C890" s="27"/>
      <c r="D890" s="27"/>
      <c r="E890" s="8"/>
      <c r="F890" s="8"/>
      <c r="G890" s="14"/>
      <c r="H890" s="8"/>
      <c r="I890" s="8"/>
      <c r="J890" s="8"/>
      <c r="K890" s="27"/>
      <c r="L890" s="8"/>
      <c r="M890" s="27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>
      <c r="A891" s="27"/>
      <c r="B891" s="27"/>
      <c r="C891" s="27"/>
      <c r="D891" s="27"/>
      <c r="E891" s="8"/>
      <c r="F891" s="8"/>
      <c r="G891" s="14"/>
      <c r="H891" s="8"/>
      <c r="I891" s="8"/>
      <c r="J891" s="8"/>
      <c r="K891" s="27"/>
      <c r="L891" s="8"/>
      <c r="M891" s="27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>
      <c r="A892" s="27"/>
      <c r="B892" s="27"/>
      <c r="C892" s="27"/>
      <c r="D892" s="27"/>
      <c r="E892" s="8"/>
      <c r="F892" s="8"/>
      <c r="G892" s="14"/>
      <c r="H892" s="8"/>
      <c r="I892" s="8"/>
      <c r="J892" s="8"/>
      <c r="K892" s="27"/>
      <c r="L892" s="8"/>
      <c r="M892" s="27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>
      <c r="A893" s="27"/>
      <c r="B893" s="27"/>
      <c r="C893" s="27"/>
      <c r="D893" s="27"/>
      <c r="E893" s="8"/>
      <c r="F893" s="8"/>
      <c r="G893" s="14"/>
      <c r="H893" s="8"/>
      <c r="I893" s="8"/>
      <c r="J893" s="8"/>
      <c r="K893" s="27"/>
      <c r="L893" s="8"/>
      <c r="M893" s="27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>
      <c r="A894" s="27"/>
      <c r="B894" s="27"/>
      <c r="C894" s="27"/>
      <c r="D894" s="27"/>
      <c r="E894" s="8"/>
      <c r="F894" s="8"/>
      <c r="G894" s="14"/>
      <c r="H894" s="8"/>
      <c r="I894" s="8"/>
      <c r="J894" s="8"/>
      <c r="K894" s="27"/>
      <c r="L894" s="8"/>
      <c r="M894" s="27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>
      <c r="A895" s="27"/>
      <c r="B895" s="27"/>
      <c r="C895" s="27"/>
      <c r="D895" s="27"/>
      <c r="E895" s="8"/>
      <c r="F895" s="8"/>
      <c r="G895" s="14"/>
      <c r="H895" s="8"/>
      <c r="I895" s="8"/>
      <c r="J895" s="8"/>
      <c r="K895" s="27"/>
      <c r="L895" s="8"/>
      <c r="M895" s="27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>
      <c r="A896" s="27"/>
      <c r="B896" s="27"/>
      <c r="C896" s="27"/>
      <c r="D896" s="27"/>
      <c r="E896" s="8"/>
      <c r="F896" s="8"/>
      <c r="G896" s="14"/>
      <c r="H896" s="8"/>
      <c r="I896" s="8"/>
      <c r="J896" s="8"/>
      <c r="K896" s="27"/>
      <c r="L896" s="8"/>
      <c r="M896" s="27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>
      <c r="A897" s="27"/>
      <c r="B897" s="27"/>
      <c r="C897" s="27"/>
      <c r="D897" s="27"/>
      <c r="E897" s="8"/>
      <c r="F897" s="8"/>
      <c r="G897" s="14"/>
      <c r="H897" s="8"/>
      <c r="I897" s="8"/>
      <c r="J897" s="8"/>
      <c r="K897" s="27"/>
      <c r="L897" s="8"/>
      <c r="M897" s="27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>
      <c r="A898" s="27"/>
      <c r="B898" s="27"/>
      <c r="C898" s="27"/>
      <c r="D898" s="27"/>
      <c r="E898" s="8"/>
      <c r="F898" s="8"/>
      <c r="G898" s="14"/>
      <c r="H898" s="8"/>
      <c r="I898" s="8"/>
      <c r="J898" s="8"/>
      <c r="K898" s="27"/>
      <c r="L898" s="8"/>
      <c r="M898" s="27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>
      <c r="A899" s="27"/>
      <c r="B899" s="27"/>
      <c r="C899" s="27"/>
      <c r="D899" s="27"/>
      <c r="E899" s="8"/>
      <c r="F899" s="8"/>
      <c r="G899" s="14"/>
      <c r="H899" s="8"/>
      <c r="I899" s="8"/>
      <c r="J899" s="8"/>
      <c r="K899" s="27"/>
      <c r="L899" s="8"/>
      <c r="M899" s="27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>
      <c r="A900" s="27"/>
      <c r="B900" s="27"/>
      <c r="C900" s="27"/>
      <c r="D900" s="27"/>
      <c r="E900" s="8"/>
      <c r="F900" s="8"/>
      <c r="G900" s="14"/>
      <c r="H900" s="8"/>
      <c r="I900" s="8"/>
      <c r="J900" s="8"/>
      <c r="K900" s="27"/>
      <c r="L900" s="8"/>
      <c r="M900" s="27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>
      <c r="A901" s="27"/>
      <c r="B901" s="27"/>
      <c r="C901" s="27"/>
      <c r="D901" s="27"/>
      <c r="E901" s="8"/>
      <c r="F901" s="8"/>
      <c r="G901" s="14"/>
      <c r="H901" s="8"/>
      <c r="I901" s="8"/>
      <c r="J901" s="8"/>
      <c r="K901" s="27"/>
      <c r="L901" s="8"/>
      <c r="M901" s="27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>
      <c r="A902" s="27"/>
      <c r="B902" s="27"/>
      <c r="C902" s="27"/>
      <c r="D902" s="27"/>
      <c r="E902" s="8"/>
      <c r="F902" s="8"/>
      <c r="G902" s="14"/>
      <c r="H902" s="8"/>
      <c r="I902" s="8"/>
      <c r="J902" s="8"/>
      <c r="K902" s="27"/>
      <c r="L902" s="8"/>
      <c r="M902" s="27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>
      <c r="A903" s="27"/>
      <c r="B903" s="27"/>
      <c r="C903" s="27"/>
      <c r="D903" s="27"/>
      <c r="E903" s="8"/>
      <c r="F903" s="8"/>
      <c r="G903" s="14"/>
      <c r="H903" s="8"/>
      <c r="I903" s="8"/>
      <c r="J903" s="8"/>
      <c r="K903" s="27"/>
      <c r="L903" s="8"/>
      <c r="M903" s="27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>
      <c r="A904" s="27"/>
      <c r="B904" s="27"/>
      <c r="C904" s="27"/>
      <c r="D904" s="27"/>
      <c r="E904" s="8"/>
      <c r="F904" s="8"/>
      <c r="G904" s="14"/>
      <c r="H904" s="8"/>
      <c r="I904" s="8"/>
      <c r="J904" s="8"/>
      <c r="K904" s="27"/>
      <c r="L904" s="8"/>
      <c r="M904" s="27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>
      <c r="A905" s="27"/>
      <c r="B905" s="27"/>
      <c r="C905" s="27"/>
      <c r="D905" s="27"/>
      <c r="E905" s="8"/>
      <c r="F905" s="8"/>
      <c r="G905" s="14"/>
      <c r="H905" s="8"/>
      <c r="I905" s="8"/>
      <c r="J905" s="8"/>
      <c r="K905" s="27"/>
      <c r="L905" s="8"/>
      <c r="M905" s="27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>
      <c r="A906" s="27"/>
      <c r="B906" s="27"/>
      <c r="C906" s="27"/>
      <c r="D906" s="27"/>
      <c r="E906" s="8"/>
      <c r="F906" s="8"/>
      <c r="G906" s="14"/>
      <c r="H906" s="8"/>
      <c r="I906" s="8"/>
      <c r="J906" s="8"/>
      <c r="K906" s="27"/>
      <c r="L906" s="8"/>
      <c r="M906" s="27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>
      <c r="A907" s="27"/>
      <c r="B907" s="27"/>
      <c r="C907" s="27"/>
      <c r="D907" s="27"/>
      <c r="E907" s="8"/>
      <c r="F907" s="8"/>
      <c r="G907" s="14"/>
      <c r="H907" s="8"/>
      <c r="I907" s="8"/>
      <c r="J907" s="8"/>
      <c r="K907" s="27"/>
      <c r="L907" s="8"/>
      <c r="M907" s="27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>
      <c r="A908" s="27"/>
      <c r="B908" s="27"/>
      <c r="C908" s="27"/>
      <c r="D908" s="27"/>
      <c r="E908" s="8"/>
      <c r="F908" s="8"/>
      <c r="G908" s="14"/>
      <c r="H908" s="8"/>
      <c r="I908" s="8"/>
      <c r="J908" s="8"/>
      <c r="K908" s="27"/>
      <c r="L908" s="8"/>
      <c r="M908" s="27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>
      <c r="A909" s="27"/>
      <c r="B909" s="27"/>
      <c r="C909" s="27"/>
      <c r="D909" s="27"/>
      <c r="E909" s="8"/>
      <c r="F909" s="8"/>
      <c r="G909" s="14"/>
      <c r="H909" s="8"/>
      <c r="I909" s="8"/>
      <c r="J909" s="8"/>
      <c r="K909" s="27"/>
      <c r="L909" s="8"/>
      <c r="M909" s="27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>
      <c r="A910" s="27"/>
      <c r="B910" s="27"/>
      <c r="C910" s="27"/>
      <c r="D910" s="27"/>
      <c r="E910" s="8"/>
      <c r="F910" s="8"/>
      <c r="G910" s="14"/>
      <c r="H910" s="8"/>
      <c r="I910" s="8"/>
      <c r="J910" s="8"/>
      <c r="K910" s="27"/>
      <c r="L910" s="8"/>
      <c r="M910" s="27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>
      <c r="A911" s="27"/>
      <c r="B911" s="27"/>
      <c r="C911" s="27"/>
      <c r="D911" s="27"/>
      <c r="E911" s="8"/>
      <c r="F911" s="8"/>
      <c r="G911" s="14"/>
      <c r="H911" s="8"/>
      <c r="I911" s="8"/>
      <c r="J911" s="8"/>
      <c r="K911" s="27"/>
      <c r="L911" s="8"/>
      <c r="M911" s="27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>
      <c r="A912" s="27"/>
      <c r="B912" s="27"/>
      <c r="C912" s="27"/>
      <c r="D912" s="27"/>
      <c r="E912" s="8"/>
      <c r="F912" s="8"/>
      <c r="G912" s="14"/>
      <c r="H912" s="8"/>
      <c r="I912" s="8"/>
      <c r="J912" s="8"/>
      <c r="K912" s="27"/>
      <c r="L912" s="8"/>
      <c r="M912" s="27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>
      <c r="A913" s="27"/>
      <c r="B913" s="27"/>
      <c r="C913" s="27"/>
      <c r="D913" s="27"/>
      <c r="E913" s="8"/>
      <c r="F913" s="8"/>
      <c r="G913" s="14"/>
      <c r="H913" s="8"/>
      <c r="I913" s="8"/>
      <c r="J913" s="8"/>
      <c r="K913" s="27"/>
      <c r="L913" s="8"/>
      <c r="M913" s="27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>
      <c r="A914" s="27"/>
      <c r="B914" s="27"/>
      <c r="C914" s="27"/>
      <c r="D914" s="27"/>
      <c r="E914" s="8"/>
      <c r="F914" s="8"/>
      <c r="G914" s="14"/>
      <c r="H914" s="8"/>
      <c r="I914" s="8"/>
      <c r="J914" s="8"/>
      <c r="K914" s="27"/>
      <c r="L914" s="8"/>
      <c r="M914" s="27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>
      <c r="A915" s="27"/>
      <c r="B915" s="27"/>
      <c r="C915" s="27"/>
      <c r="D915" s="27"/>
      <c r="E915" s="8"/>
      <c r="F915" s="8"/>
      <c r="G915" s="14"/>
      <c r="H915" s="8"/>
      <c r="I915" s="8"/>
      <c r="J915" s="8"/>
      <c r="K915" s="27"/>
      <c r="L915" s="8"/>
      <c r="M915" s="27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>
      <c r="A916" s="27"/>
      <c r="B916" s="27"/>
      <c r="C916" s="27"/>
      <c r="D916" s="27"/>
      <c r="E916" s="8"/>
      <c r="F916" s="8"/>
      <c r="G916" s="14"/>
      <c r="H916" s="8"/>
      <c r="I916" s="8"/>
      <c r="J916" s="8"/>
      <c r="K916" s="27"/>
      <c r="L916" s="8"/>
      <c r="M916" s="27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>
      <c r="A917" s="27"/>
      <c r="B917" s="27"/>
      <c r="C917" s="27"/>
      <c r="D917" s="27"/>
      <c r="E917" s="8"/>
      <c r="F917" s="8"/>
      <c r="G917" s="14"/>
      <c r="H917" s="8"/>
      <c r="I917" s="8"/>
      <c r="J917" s="8"/>
      <c r="K917" s="27"/>
      <c r="L917" s="8"/>
      <c r="M917" s="27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>
      <c r="A918" s="27"/>
      <c r="B918" s="27"/>
      <c r="C918" s="27"/>
      <c r="D918" s="27"/>
      <c r="E918" s="8"/>
      <c r="F918" s="8"/>
      <c r="G918" s="14"/>
      <c r="H918" s="8"/>
      <c r="I918" s="8"/>
      <c r="J918" s="8"/>
      <c r="K918" s="27"/>
      <c r="L918" s="8"/>
      <c r="M918" s="27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>
      <c r="A919" s="27"/>
      <c r="B919" s="27"/>
      <c r="C919" s="27"/>
      <c r="D919" s="27"/>
      <c r="E919" s="8"/>
      <c r="F919" s="8"/>
      <c r="G919" s="14"/>
      <c r="H919" s="8"/>
      <c r="I919" s="8"/>
      <c r="J919" s="8"/>
      <c r="K919" s="27"/>
      <c r="L919" s="8"/>
      <c r="M919" s="27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>
      <c r="A920" s="27"/>
      <c r="B920" s="27"/>
      <c r="C920" s="27"/>
      <c r="D920" s="27"/>
      <c r="E920" s="8"/>
      <c r="F920" s="8"/>
      <c r="G920" s="14"/>
      <c r="H920" s="8"/>
      <c r="I920" s="8"/>
      <c r="J920" s="8"/>
      <c r="K920" s="27"/>
      <c r="L920" s="8"/>
      <c r="M920" s="27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>
      <c r="A921" s="27"/>
      <c r="B921" s="27"/>
      <c r="C921" s="27"/>
      <c r="D921" s="27"/>
      <c r="E921" s="8"/>
      <c r="F921" s="8"/>
      <c r="G921" s="14"/>
      <c r="H921" s="8"/>
      <c r="I921" s="8"/>
      <c r="J921" s="8"/>
      <c r="K921" s="27"/>
      <c r="L921" s="8"/>
      <c r="M921" s="27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>
      <c r="A922" s="27"/>
      <c r="B922" s="27"/>
      <c r="C922" s="27"/>
      <c r="D922" s="27"/>
      <c r="E922" s="8"/>
      <c r="F922" s="8"/>
      <c r="G922" s="14"/>
      <c r="H922" s="8"/>
      <c r="I922" s="8"/>
      <c r="J922" s="8"/>
      <c r="K922" s="27"/>
      <c r="L922" s="8"/>
      <c r="M922" s="27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>
      <c r="A923" s="27"/>
      <c r="B923" s="27"/>
      <c r="C923" s="27"/>
      <c r="D923" s="27"/>
      <c r="E923" s="8"/>
      <c r="F923" s="8"/>
      <c r="G923" s="14"/>
      <c r="H923" s="8"/>
      <c r="I923" s="8"/>
      <c r="J923" s="8"/>
      <c r="K923" s="27"/>
      <c r="L923" s="8"/>
      <c r="M923" s="27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>
      <c r="A924" s="27"/>
      <c r="B924" s="27"/>
      <c r="C924" s="27"/>
      <c r="D924" s="27"/>
      <c r="E924" s="8"/>
      <c r="F924" s="8"/>
      <c r="G924" s="14"/>
      <c r="H924" s="8"/>
      <c r="I924" s="8"/>
      <c r="J924" s="8"/>
      <c r="K924" s="27"/>
      <c r="L924" s="8"/>
      <c r="M924" s="27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>
      <c r="A925" s="27"/>
      <c r="B925" s="27"/>
      <c r="C925" s="27"/>
      <c r="D925" s="27"/>
      <c r="E925" s="8"/>
      <c r="F925" s="8"/>
      <c r="G925" s="14"/>
      <c r="H925" s="8"/>
      <c r="I925" s="8"/>
      <c r="J925" s="8"/>
      <c r="K925" s="27"/>
      <c r="L925" s="8"/>
      <c r="M925" s="27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>
      <c r="A926" s="27"/>
      <c r="B926" s="27"/>
      <c r="C926" s="27"/>
      <c r="D926" s="27"/>
      <c r="E926" s="8"/>
      <c r="F926" s="8"/>
      <c r="G926" s="14"/>
      <c r="H926" s="8"/>
      <c r="I926" s="8"/>
      <c r="J926" s="8"/>
      <c r="K926" s="27"/>
      <c r="L926" s="8"/>
      <c r="M926" s="27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>
      <c r="A927" s="27"/>
      <c r="B927" s="27"/>
      <c r="C927" s="27"/>
      <c r="D927" s="27"/>
      <c r="E927" s="8"/>
      <c r="F927" s="8"/>
      <c r="G927" s="14"/>
      <c r="H927" s="8"/>
      <c r="I927" s="8"/>
      <c r="J927" s="8"/>
      <c r="K927" s="27"/>
      <c r="L927" s="8"/>
      <c r="M927" s="27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>
      <c r="A928" s="27"/>
      <c r="B928" s="27"/>
      <c r="C928" s="27"/>
      <c r="D928" s="27"/>
      <c r="E928" s="8"/>
      <c r="F928" s="8"/>
      <c r="G928" s="14"/>
      <c r="H928" s="8"/>
      <c r="I928" s="8"/>
      <c r="J928" s="8"/>
      <c r="K928" s="27"/>
      <c r="L928" s="8"/>
      <c r="M928" s="27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>
      <c r="A929" s="27"/>
      <c r="B929" s="27"/>
      <c r="C929" s="27"/>
      <c r="D929" s="27"/>
      <c r="E929" s="8"/>
      <c r="F929" s="8"/>
      <c r="G929" s="14"/>
      <c r="H929" s="8"/>
      <c r="I929" s="8"/>
      <c r="J929" s="8"/>
      <c r="K929" s="27"/>
      <c r="L929" s="8"/>
      <c r="M929" s="27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>
      <c r="A930" s="27"/>
      <c r="B930" s="27"/>
      <c r="C930" s="27"/>
      <c r="D930" s="27"/>
      <c r="E930" s="8"/>
      <c r="F930" s="8"/>
      <c r="G930" s="14"/>
      <c r="H930" s="8"/>
      <c r="I930" s="8"/>
      <c r="J930" s="8"/>
      <c r="K930" s="27"/>
      <c r="L930" s="8"/>
      <c r="M930" s="27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>
      <c r="A931" s="27"/>
      <c r="B931" s="27"/>
      <c r="C931" s="27"/>
      <c r="D931" s="27"/>
      <c r="E931" s="8"/>
      <c r="F931" s="8"/>
      <c r="G931" s="14"/>
      <c r="H931" s="8"/>
      <c r="I931" s="8"/>
      <c r="J931" s="8"/>
      <c r="K931" s="27"/>
      <c r="L931" s="8"/>
      <c r="M931" s="27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>
      <c r="A932" s="27"/>
      <c r="B932" s="27"/>
      <c r="C932" s="27"/>
      <c r="D932" s="27"/>
      <c r="E932" s="8"/>
      <c r="F932" s="8"/>
      <c r="G932" s="14"/>
      <c r="H932" s="8"/>
      <c r="I932" s="8"/>
      <c r="J932" s="8"/>
      <c r="K932" s="27"/>
      <c r="L932" s="8"/>
      <c r="M932" s="27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>
      <c r="A933" s="27"/>
      <c r="B933" s="27"/>
      <c r="C933" s="27"/>
      <c r="D933" s="27"/>
      <c r="E933" s="8"/>
      <c r="F933" s="8"/>
      <c r="G933" s="14"/>
      <c r="H933" s="8"/>
      <c r="I933" s="8"/>
      <c r="J933" s="8"/>
      <c r="K933" s="27"/>
      <c r="L933" s="8"/>
      <c r="M933" s="27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>
      <c r="A934" s="27"/>
      <c r="B934" s="27"/>
      <c r="C934" s="27"/>
      <c r="D934" s="27"/>
      <c r="E934" s="8"/>
      <c r="F934" s="8"/>
      <c r="G934" s="14"/>
      <c r="H934" s="8"/>
      <c r="I934" s="8"/>
      <c r="J934" s="8"/>
      <c r="K934" s="27"/>
      <c r="L934" s="8"/>
      <c r="M934" s="27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>
      <c r="A935" s="27"/>
      <c r="B935" s="27"/>
      <c r="C935" s="27"/>
      <c r="D935" s="27"/>
      <c r="E935" s="8"/>
      <c r="F935" s="8"/>
      <c r="G935" s="14"/>
      <c r="H935" s="8"/>
      <c r="I935" s="8"/>
      <c r="J935" s="8"/>
      <c r="K935" s="27"/>
      <c r="L935" s="8"/>
      <c r="M935" s="27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>
      <c r="A936" s="27"/>
      <c r="B936" s="27"/>
      <c r="C936" s="27"/>
      <c r="D936" s="27"/>
      <c r="E936" s="8"/>
      <c r="F936" s="8"/>
      <c r="G936" s="14"/>
      <c r="H936" s="8"/>
      <c r="I936" s="8"/>
      <c r="J936" s="8"/>
      <c r="K936" s="27"/>
      <c r="L936" s="8"/>
      <c r="M936" s="27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>
      <c r="A937" s="27"/>
      <c r="B937" s="27"/>
      <c r="C937" s="27"/>
      <c r="D937" s="27"/>
      <c r="E937" s="8"/>
      <c r="F937" s="8"/>
      <c r="G937" s="14"/>
      <c r="H937" s="8"/>
      <c r="I937" s="8"/>
      <c r="J937" s="8"/>
      <c r="K937" s="27"/>
      <c r="L937" s="8"/>
      <c r="M937" s="27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>
      <c r="A938" s="27"/>
      <c r="B938" s="27"/>
      <c r="C938" s="27"/>
      <c r="D938" s="27"/>
      <c r="E938" s="8"/>
      <c r="F938" s="8"/>
      <c r="G938" s="14"/>
      <c r="H938" s="8"/>
      <c r="I938" s="8"/>
      <c r="J938" s="8"/>
      <c r="K938" s="27"/>
      <c r="L938" s="8"/>
      <c r="M938" s="27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>
      <c r="A939" s="27"/>
      <c r="B939" s="27"/>
      <c r="C939" s="27"/>
      <c r="D939" s="27"/>
      <c r="E939" s="8"/>
      <c r="F939" s="8"/>
      <c r="G939" s="14"/>
      <c r="H939" s="8"/>
      <c r="I939" s="8"/>
      <c r="J939" s="8"/>
      <c r="K939" s="27"/>
      <c r="L939" s="8"/>
      <c r="M939" s="27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>
      <c r="A940" s="27"/>
      <c r="B940" s="27"/>
      <c r="C940" s="27"/>
      <c r="D940" s="27"/>
      <c r="E940" s="8"/>
      <c r="F940" s="8"/>
      <c r="G940" s="14"/>
      <c r="H940" s="8"/>
      <c r="I940" s="8"/>
      <c r="J940" s="8"/>
      <c r="K940" s="27"/>
      <c r="L940" s="8"/>
      <c r="M940" s="27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>
      <c r="A941" s="27"/>
      <c r="B941" s="27"/>
      <c r="C941" s="27"/>
      <c r="D941" s="27"/>
      <c r="E941" s="8"/>
      <c r="F941" s="8"/>
      <c r="G941" s="14"/>
      <c r="H941" s="8"/>
      <c r="I941" s="8"/>
      <c r="J941" s="8"/>
      <c r="K941" s="27"/>
      <c r="L941" s="8"/>
      <c r="M941" s="27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>
      <c r="A942" s="27"/>
      <c r="B942" s="27"/>
      <c r="C942" s="27"/>
      <c r="D942" s="27"/>
      <c r="E942" s="8"/>
      <c r="F942" s="8"/>
      <c r="G942" s="14"/>
      <c r="H942" s="8"/>
      <c r="I942" s="8"/>
      <c r="J942" s="8"/>
      <c r="K942" s="27"/>
      <c r="L942" s="8"/>
      <c r="M942" s="27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>
      <c r="A943" s="27"/>
      <c r="B943" s="27"/>
      <c r="C943" s="27"/>
      <c r="D943" s="27"/>
      <c r="E943" s="8"/>
      <c r="F943" s="8"/>
      <c r="G943" s="14"/>
      <c r="H943" s="8"/>
      <c r="I943" s="8"/>
      <c r="J943" s="8"/>
      <c r="K943" s="27"/>
      <c r="L943" s="8"/>
      <c r="M943" s="27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>
      <c r="A944" s="27"/>
      <c r="B944" s="27"/>
      <c r="C944" s="27"/>
      <c r="D944" s="27"/>
      <c r="E944" s="8"/>
      <c r="F944" s="8"/>
      <c r="G944" s="14"/>
      <c r="H944" s="8"/>
      <c r="I944" s="8"/>
      <c r="J944" s="8"/>
      <c r="K944" s="27"/>
      <c r="L944" s="8"/>
      <c r="M944" s="27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>
      <c r="A945" s="27"/>
      <c r="B945" s="27"/>
      <c r="C945" s="27"/>
      <c r="D945" s="27"/>
      <c r="E945" s="8"/>
      <c r="F945" s="8"/>
      <c r="G945" s="14"/>
      <c r="H945" s="8"/>
      <c r="I945" s="8"/>
      <c r="J945" s="8"/>
      <c r="K945" s="27"/>
      <c r="L945" s="8"/>
      <c r="M945" s="27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>
      <c r="A946" s="27"/>
      <c r="B946" s="27"/>
      <c r="C946" s="27"/>
      <c r="D946" s="27"/>
      <c r="E946" s="8"/>
      <c r="F946" s="8"/>
      <c r="G946" s="14"/>
      <c r="H946" s="8"/>
      <c r="I946" s="8"/>
      <c r="J946" s="8"/>
      <c r="K946" s="27"/>
      <c r="L946" s="8"/>
      <c r="M946" s="27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>
      <c r="A947" s="27"/>
      <c r="B947" s="27"/>
      <c r="C947" s="27"/>
      <c r="D947" s="27"/>
      <c r="E947" s="8"/>
      <c r="F947" s="8"/>
      <c r="G947" s="14"/>
      <c r="H947" s="8"/>
      <c r="I947" s="8"/>
      <c r="J947" s="8"/>
      <c r="K947" s="27"/>
      <c r="L947" s="8"/>
      <c r="M947" s="27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>
      <c r="A948" s="27"/>
      <c r="B948" s="27"/>
      <c r="C948" s="27"/>
      <c r="D948" s="27"/>
      <c r="E948" s="8"/>
      <c r="F948" s="8"/>
      <c r="G948" s="14"/>
      <c r="H948" s="8"/>
      <c r="I948" s="8"/>
      <c r="J948" s="8"/>
      <c r="K948" s="27"/>
      <c r="L948" s="8"/>
      <c r="M948" s="27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>
      <c r="A949" s="27"/>
      <c r="B949" s="27"/>
      <c r="C949" s="27"/>
      <c r="D949" s="27"/>
      <c r="E949" s="8"/>
      <c r="F949" s="8"/>
      <c r="G949" s="14"/>
      <c r="H949" s="8"/>
      <c r="I949" s="8"/>
      <c r="J949" s="8"/>
      <c r="K949" s="27"/>
      <c r="L949" s="8"/>
      <c r="M949" s="27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>
      <c r="A950" s="27"/>
      <c r="B950" s="27"/>
      <c r="C950" s="27"/>
      <c r="D950" s="27"/>
      <c r="E950" s="8"/>
      <c r="F950" s="8"/>
      <c r="G950" s="14"/>
      <c r="H950" s="8"/>
      <c r="I950" s="8"/>
      <c r="J950" s="8"/>
      <c r="K950" s="27"/>
      <c r="L950" s="8"/>
      <c r="M950" s="27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>
      <c r="A951" s="27"/>
      <c r="B951" s="27"/>
      <c r="C951" s="27"/>
      <c r="D951" s="27"/>
      <c r="E951" s="8"/>
      <c r="F951" s="8"/>
      <c r="G951" s="14"/>
      <c r="H951" s="8"/>
      <c r="I951" s="8"/>
      <c r="J951" s="8"/>
      <c r="K951" s="27"/>
      <c r="L951" s="8"/>
      <c r="M951" s="27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>
      <c r="A952" s="27"/>
      <c r="B952" s="27"/>
      <c r="C952" s="27"/>
      <c r="D952" s="27"/>
      <c r="E952" s="8"/>
      <c r="F952" s="8"/>
      <c r="G952" s="14"/>
      <c r="H952" s="8"/>
      <c r="I952" s="8"/>
      <c r="J952" s="8"/>
      <c r="K952" s="27"/>
      <c r="L952" s="8"/>
      <c r="M952" s="27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>
      <c r="A953" s="27"/>
      <c r="B953" s="27"/>
      <c r="C953" s="27"/>
      <c r="D953" s="27"/>
      <c r="E953" s="8"/>
      <c r="F953" s="8"/>
      <c r="G953" s="14"/>
      <c r="H953" s="8"/>
      <c r="I953" s="8"/>
      <c r="J953" s="8"/>
      <c r="K953" s="27"/>
      <c r="L953" s="8"/>
      <c r="M953" s="27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>
      <c r="A954" s="27"/>
      <c r="B954" s="27"/>
      <c r="C954" s="27"/>
      <c r="D954" s="27"/>
      <c r="E954" s="8"/>
      <c r="F954" s="8"/>
      <c r="G954" s="14"/>
      <c r="H954" s="8"/>
      <c r="I954" s="8"/>
      <c r="J954" s="8"/>
      <c r="K954" s="27"/>
      <c r="L954" s="8"/>
      <c r="M954" s="27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>
      <c r="A955" s="27"/>
      <c r="B955" s="27"/>
      <c r="C955" s="27"/>
      <c r="D955" s="27"/>
      <c r="E955" s="8"/>
      <c r="F955" s="8"/>
      <c r="G955" s="14"/>
      <c r="H955" s="8"/>
      <c r="I955" s="8"/>
      <c r="J955" s="8"/>
      <c r="K955" s="27"/>
      <c r="L955" s="8"/>
      <c r="M955" s="27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>
      <c r="A956" s="27"/>
      <c r="B956" s="27"/>
      <c r="C956" s="27"/>
      <c r="D956" s="27"/>
      <c r="E956" s="8"/>
      <c r="F956" s="8"/>
      <c r="G956" s="14"/>
      <c r="H956" s="8"/>
      <c r="I956" s="8"/>
      <c r="J956" s="8"/>
      <c r="K956" s="27"/>
      <c r="L956" s="8"/>
      <c r="M956" s="27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>
      <c r="A957" s="27"/>
      <c r="B957" s="27"/>
      <c r="C957" s="27"/>
      <c r="D957" s="27"/>
      <c r="E957" s="8"/>
      <c r="F957" s="8"/>
      <c r="G957" s="14"/>
      <c r="H957" s="8"/>
      <c r="I957" s="8"/>
      <c r="J957" s="8"/>
      <c r="K957" s="27"/>
      <c r="L957" s="8"/>
      <c r="M957" s="27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>
      <c r="A958" s="27"/>
      <c r="B958" s="27"/>
      <c r="C958" s="27"/>
      <c r="D958" s="27"/>
      <c r="E958" s="8"/>
      <c r="F958" s="8"/>
      <c r="G958" s="14"/>
      <c r="H958" s="8"/>
      <c r="I958" s="8"/>
      <c r="J958" s="8"/>
      <c r="K958" s="27"/>
      <c r="L958" s="8"/>
      <c r="M958" s="27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>
      <c r="A959" s="27"/>
      <c r="B959" s="27"/>
      <c r="C959" s="27"/>
      <c r="D959" s="27"/>
      <c r="E959" s="8"/>
      <c r="F959" s="8"/>
      <c r="G959" s="14"/>
      <c r="H959" s="8"/>
      <c r="I959" s="8"/>
      <c r="J959" s="8"/>
      <c r="K959" s="27"/>
      <c r="L959" s="8"/>
      <c r="M959" s="27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>
      <c r="A960" s="27"/>
      <c r="B960" s="27"/>
      <c r="C960" s="27"/>
      <c r="D960" s="27"/>
      <c r="E960" s="8"/>
      <c r="F960" s="8"/>
      <c r="G960" s="14"/>
      <c r="H960" s="8"/>
      <c r="I960" s="8"/>
      <c r="J960" s="8"/>
      <c r="K960" s="27"/>
      <c r="L960" s="8"/>
      <c r="M960" s="27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>
      <c r="A961" s="27"/>
      <c r="B961" s="27"/>
      <c r="C961" s="27"/>
      <c r="D961" s="27"/>
      <c r="E961" s="8"/>
      <c r="F961" s="8"/>
      <c r="G961" s="14"/>
      <c r="H961" s="8"/>
      <c r="I961" s="8"/>
      <c r="J961" s="8"/>
      <c r="K961" s="27"/>
      <c r="L961" s="8"/>
      <c r="M961" s="27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>
      <c r="A962" s="27"/>
      <c r="B962" s="27"/>
      <c r="C962" s="27"/>
      <c r="D962" s="27"/>
      <c r="E962" s="8"/>
      <c r="F962" s="8"/>
      <c r="G962" s="14"/>
      <c r="H962" s="8"/>
      <c r="I962" s="8"/>
      <c r="J962" s="8"/>
      <c r="K962" s="27"/>
      <c r="L962" s="8"/>
      <c r="M962" s="27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>
      <c r="A963" s="27"/>
      <c r="B963" s="27"/>
      <c r="C963" s="27"/>
      <c r="D963" s="27"/>
      <c r="E963" s="8"/>
      <c r="F963" s="8"/>
      <c r="G963" s="14"/>
      <c r="H963" s="8"/>
      <c r="I963" s="8"/>
      <c r="J963" s="8"/>
      <c r="K963" s="27"/>
      <c r="L963" s="8"/>
      <c r="M963" s="27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>
      <c r="A964" s="27"/>
      <c r="B964" s="27"/>
      <c r="C964" s="27"/>
      <c r="D964" s="27"/>
      <c r="E964" s="8"/>
      <c r="F964" s="8"/>
      <c r="G964" s="14"/>
      <c r="H964" s="8"/>
      <c r="I964" s="8"/>
      <c r="J964" s="8"/>
      <c r="K964" s="27"/>
      <c r="L964" s="8"/>
      <c r="M964" s="27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>
      <c r="A965" s="27"/>
      <c r="B965" s="27"/>
      <c r="C965" s="27"/>
      <c r="D965" s="27"/>
      <c r="E965" s="8"/>
      <c r="F965" s="8"/>
      <c r="G965" s="14"/>
      <c r="H965" s="8"/>
      <c r="I965" s="8"/>
      <c r="J965" s="8"/>
      <c r="K965" s="27"/>
      <c r="L965" s="8"/>
      <c r="M965" s="27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>
      <c r="A966" s="27"/>
      <c r="B966" s="27"/>
      <c r="C966" s="27"/>
      <c r="D966" s="27"/>
      <c r="E966" s="8"/>
      <c r="F966" s="8"/>
      <c r="G966" s="14"/>
      <c r="H966" s="8"/>
      <c r="I966" s="8"/>
      <c r="J966" s="8"/>
      <c r="K966" s="27"/>
      <c r="L966" s="8"/>
      <c r="M966" s="27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>
      <c r="A967" s="27"/>
      <c r="B967" s="27"/>
      <c r="C967" s="27"/>
      <c r="D967" s="27"/>
      <c r="E967" s="8"/>
      <c r="F967" s="8"/>
      <c r="G967" s="14"/>
      <c r="H967" s="8"/>
      <c r="I967" s="8"/>
      <c r="J967" s="8"/>
      <c r="K967" s="27"/>
      <c r="L967" s="8"/>
      <c r="M967" s="27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>
      <c r="A968" s="27"/>
      <c r="B968" s="27"/>
      <c r="C968" s="27"/>
      <c r="D968" s="27"/>
      <c r="E968" s="8"/>
      <c r="F968" s="8"/>
      <c r="G968" s="14"/>
      <c r="H968" s="8"/>
      <c r="I968" s="8"/>
      <c r="J968" s="8"/>
      <c r="K968" s="27"/>
      <c r="L968" s="8"/>
      <c r="M968" s="27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>
      <c r="A969" s="27"/>
      <c r="B969" s="27"/>
      <c r="C969" s="27"/>
      <c r="D969" s="27"/>
      <c r="E969" s="8"/>
      <c r="F969" s="8"/>
      <c r="G969" s="14"/>
      <c r="H969" s="8"/>
      <c r="I969" s="8"/>
      <c r="J969" s="8"/>
      <c r="K969" s="27"/>
      <c r="L969" s="8"/>
      <c r="M969" s="27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>
      <c r="A970" s="27"/>
      <c r="B970" s="27"/>
      <c r="C970" s="27"/>
      <c r="D970" s="27"/>
      <c r="E970" s="8"/>
      <c r="F970" s="8"/>
      <c r="G970" s="14"/>
      <c r="H970" s="8"/>
      <c r="I970" s="8"/>
      <c r="J970" s="8"/>
      <c r="K970" s="27"/>
      <c r="L970" s="8"/>
      <c r="M970" s="27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>
      <c r="A971" s="27"/>
      <c r="B971" s="27"/>
      <c r="C971" s="27"/>
      <c r="D971" s="27"/>
      <c r="E971" s="8"/>
      <c r="F971" s="8"/>
      <c r="G971" s="14"/>
      <c r="H971" s="8"/>
      <c r="I971" s="8"/>
      <c r="J971" s="8"/>
      <c r="K971" s="27"/>
      <c r="L971" s="8"/>
      <c r="M971" s="27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>
      <c r="A972" s="27"/>
      <c r="B972" s="27"/>
      <c r="C972" s="27"/>
      <c r="D972" s="27"/>
      <c r="E972" s="8"/>
      <c r="F972" s="8"/>
      <c r="G972" s="14"/>
      <c r="H972" s="8"/>
      <c r="I972" s="8"/>
      <c r="J972" s="8"/>
      <c r="K972" s="27"/>
      <c r="L972" s="8"/>
      <c r="M972" s="27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>
      <c r="A973" s="27"/>
      <c r="B973" s="27"/>
      <c r="C973" s="27"/>
      <c r="D973" s="27"/>
      <c r="E973" s="8"/>
      <c r="F973" s="8"/>
      <c r="G973" s="14"/>
      <c r="H973" s="8"/>
      <c r="I973" s="8"/>
      <c r="J973" s="8"/>
      <c r="K973" s="27"/>
      <c r="L973" s="8"/>
      <c r="M973" s="27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>
      <c r="A974" s="27"/>
      <c r="B974" s="27"/>
      <c r="C974" s="27"/>
      <c r="D974" s="27"/>
      <c r="E974" s="8"/>
      <c r="F974" s="8"/>
      <c r="G974" s="14"/>
      <c r="H974" s="8"/>
      <c r="I974" s="8"/>
      <c r="J974" s="8"/>
      <c r="K974" s="27"/>
      <c r="L974" s="8"/>
      <c r="M974" s="27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>
      <c r="A975" s="27"/>
      <c r="B975" s="27"/>
      <c r="C975" s="27"/>
      <c r="D975" s="27"/>
      <c r="E975" s="8"/>
      <c r="F975" s="8"/>
      <c r="G975" s="14"/>
      <c r="H975" s="8"/>
      <c r="I975" s="8"/>
      <c r="J975" s="8"/>
      <c r="K975" s="27"/>
      <c r="L975" s="8"/>
      <c r="M975" s="27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>
      <c r="A976" s="27"/>
      <c r="B976" s="27"/>
      <c r="C976" s="27"/>
      <c r="D976" s="27"/>
      <c r="E976" s="8"/>
      <c r="F976" s="8"/>
      <c r="G976" s="14"/>
      <c r="H976" s="8"/>
      <c r="I976" s="8"/>
      <c r="J976" s="8"/>
      <c r="K976" s="27"/>
      <c r="L976" s="8"/>
      <c r="M976" s="27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>
      <c r="A977" s="27"/>
      <c r="B977" s="27"/>
      <c r="C977" s="27"/>
      <c r="D977" s="27"/>
      <c r="E977" s="8"/>
      <c r="F977" s="8"/>
      <c r="G977" s="14"/>
      <c r="H977" s="8"/>
      <c r="I977" s="8"/>
      <c r="J977" s="8"/>
      <c r="K977" s="27"/>
      <c r="L977" s="8"/>
      <c r="M977" s="27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>
      <c r="A978" s="27"/>
      <c r="B978" s="27"/>
      <c r="C978" s="27"/>
      <c r="D978" s="27"/>
      <c r="E978" s="8"/>
      <c r="F978" s="8"/>
      <c r="G978" s="14"/>
      <c r="H978" s="8"/>
      <c r="I978" s="8"/>
      <c r="J978" s="8"/>
      <c r="K978" s="27"/>
      <c r="L978" s="8"/>
      <c r="M978" s="27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>
      <c r="A979" s="27"/>
      <c r="B979" s="27"/>
      <c r="C979" s="27"/>
      <c r="D979" s="27"/>
      <c r="E979" s="8"/>
      <c r="F979" s="8"/>
      <c r="G979" s="14"/>
      <c r="H979" s="8"/>
      <c r="I979" s="8"/>
      <c r="J979" s="8"/>
      <c r="K979" s="27"/>
      <c r="L979" s="8"/>
      <c r="M979" s="27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>
      <c r="A980" s="27"/>
      <c r="B980" s="27"/>
      <c r="C980" s="27"/>
      <c r="D980" s="27"/>
      <c r="E980" s="8"/>
      <c r="F980" s="8"/>
      <c r="G980" s="14"/>
      <c r="H980" s="8"/>
      <c r="I980" s="8"/>
      <c r="J980" s="8"/>
      <c r="K980" s="27"/>
      <c r="L980" s="8"/>
      <c r="M980" s="27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>
      <c r="A981" s="27"/>
      <c r="B981" s="27"/>
      <c r="C981" s="27"/>
      <c r="D981" s="27"/>
      <c r="E981" s="8"/>
      <c r="F981" s="8"/>
      <c r="G981" s="14"/>
      <c r="H981" s="8"/>
      <c r="I981" s="8"/>
      <c r="J981" s="8"/>
      <c r="K981" s="27"/>
      <c r="L981" s="8"/>
      <c r="M981" s="27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>
      <c r="A982" s="27"/>
      <c r="B982" s="27"/>
      <c r="C982" s="27"/>
      <c r="D982" s="27"/>
      <c r="E982" s="8"/>
      <c r="F982" s="8"/>
      <c r="G982" s="14"/>
      <c r="H982" s="8"/>
      <c r="I982" s="8"/>
      <c r="J982" s="8"/>
      <c r="K982" s="27"/>
      <c r="L982" s="8"/>
      <c r="M982" s="27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>
      <c r="A983" s="27"/>
      <c r="B983" s="27"/>
      <c r="C983" s="27"/>
      <c r="D983" s="27"/>
      <c r="E983" s="8"/>
      <c r="F983" s="8"/>
      <c r="G983" s="14"/>
      <c r="H983" s="8"/>
      <c r="I983" s="8"/>
      <c r="J983" s="8"/>
      <c r="K983" s="27"/>
      <c r="L983" s="8"/>
      <c r="M983" s="27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>
      <c r="A984" s="27"/>
      <c r="B984" s="27"/>
      <c r="C984" s="27"/>
      <c r="D984" s="27"/>
      <c r="E984" s="8"/>
      <c r="F984" s="8"/>
      <c r="G984" s="14"/>
      <c r="H984" s="8"/>
      <c r="I984" s="8"/>
      <c r="J984" s="8"/>
      <c r="K984" s="27"/>
      <c r="L984" s="8"/>
      <c r="M984" s="27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>
      <c r="A985" s="27"/>
      <c r="B985" s="27"/>
      <c r="C985" s="27"/>
      <c r="D985" s="27"/>
      <c r="E985" s="8"/>
      <c r="F985" s="8"/>
      <c r="G985" s="14"/>
      <c r="H985" s="8"/>
      <c r="I985" s="8"/>
      <c r="J985" s="8"/>
      <c r="K985" s="27"/>
      <c r="L985" s="8"/>
      <c r="M985" s="27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>
      <c r="A986" s="27"/>
      <c r="B986" s="27"/>
      <c r="C986" s="27"/>
      <c r="D986" s="27"/>
      <c r="E986" s="8"/>
      <c r="F986" s="8"/>
      <c r="G986" s="14"/>
      <c r="H986" s="8"/>
      <c r="I986" s="8"/>
      <c r="J986" s="8"/>
      <c r="K986" s="27"/>
      <c r="L986" s="8"/>
      <c r="M986" s="27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>
      <c r="A987" s="27"/>
      <c r="B987" s="27"/>
      <c r="C987" s="27"/>
      <c r="D987" s="27"/>
      <c r="E987" s="8"/>
      <c r="F987" s="8"/>
      <c r="G987" s="14"/>
      <c r="H987" s="8"/>
      <c r="I987" s="8"/>
      <c r="J987" s="8"/>
      <c r="K987" s="27"/>
      <c r="L987" s="8"/>
      <c r="M987" s="27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>
      <c r="A988" s="27"/>
      <c r="B988" s="27"/>
      <c r="C988" s="27"/>
      <c r="D988" s="27"/>
      <c r="E988" s="8"/>
      <c r="F988" s="8"/>
      <c r="G988" s="14"/>
      <c r="H988" s="8"/>
      <c r="I988" s="8"/>
      <c r="J988" s="8"/>
      <c r="K988" s="27"/>
      <c r="L988" s="8"/>
      <c r="M988" s="27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>
      <c r="A989" s="27"/>
      <c r="B989" s="27"/>
      <c r="C989" s="27"/>
      <c r="D989" s="27"/>
      <c r="E989" s="8"/>
      <c r="F989" s="8"/>
      <c r="G989" s="14"/>
      <c r="H989" s="8"/>
      <c r="I989" s="8"/>
      <c r="J989" s="8"/>
      <c r="K989" s="27"/>
      <c r="L989" s="8"/>
      <c r="M989" s="27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>
      <c r="A990" s="27"/>
      <c r="B990" s="27"/>
      <c r="C990" s="27"/>
      <c r="D990" s="27"/>
      <c r="E990" s="8"/>
      <c r="F990" s="8"/>
      <c r="G990" s="14"/>
      <c r="H990" s="8"/>
      <c r="I990" s="8"/>
      <c r="J990" s="8"/>
      <c r="K990" s="27"/>
      <c r="L990" s="8"/>
      <c r="M990" s="27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>
      <c r="A991" s="27"/>
      <c r="B991" s="27"/>
      <c r="C991" s="27"/>
      <c r="D991" s="27"/>
      <c r="E991" s="8"/>
      <c r="F991" s="8"/>
      <c r="G991" s="14"/>
      <c r="H991" s="8"/>
      <c r="I991" s="8"/>
      <c r="J991" s="8"/>
      <c r="K991" s="27"/>
      <c r="L991" s="8"/>
      <c r="M991" s="27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>
      <c r="A992" s="27"/>
      <c r="B992" s="27"/>
      <c r="C992" s="27"/>
      <c r="D992" s="27"/>
      <c r="E992" s="8"/>
      <c r="F992" s="8"/>
      <c r="G992" s="14"/>
      <c r="H992" s="8"/>
      <c r="I992" s="8"/>
      <c r="J992" s="8"/>
      <c r="K992" s="27"/>
      <c r="L992" s="8"/>
      <c r="M992" s="27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>
      <c r="A993" s="27"/>
      <c r="B993" s="27"/>
      <c r="C993" s="27"/>
      <c r="D993" s="27"/>
      <c r="E993" s="8"/>
      <c r="F993" s="8"/>
      <c r="G993" s="14"/>
      <c r="H993" s="8"/>
      <c r="I993" s="8"/>
      <c r="J993" s="8"/>
      <c r="K993" s="27"/>
      <c r="L993" s="8"/>
      <c r="M993" s="27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>
      <c r="A994" s="27"/>
      <c r="B994" s="27"/>
      <c r="C994" s="27"/>
      <c r="D994" s="27"/>
      <c r="E994" s="8"/>
      <c r="F994" s="8"/>
      <c r="G994" s="14"/>
      <c r="H994" s="8"/>
      <c r="I994" s="8"/>
      <c r="J994" s="8"/>
      <c r="K994" s="27"/>
      <c r="L994" s="8"/>
      <c r="M994" s="27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>
      <c r="A995" s="27"/>
      <c r="B995" s="27"/>
      <c r="C995" s="27"/>
      <c r="D995" s="27"/>
      <c r="E995" s="8"/>
      <c r="F995" s="8"/>
      <c r="G995" s="14"/>
      <c r="H995" s="8"/>
      <c r="I995" s="8"/>
      <c r="J995" s="8"/>
      <c r="K995" s="27"/>
      <c r="L995" s="8"/>
      <c r="M995" s="27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>
      <c r="A996" s="27"/>
      <c r="B996" s="27"/>
      <c r="C996" s="27"/>
      <c r="D996" s="27"/>
      <c r="E996" s="8"/>
      <c r="F996" s="8"/>
      <c r="G996" s="14"/>
      <c r="H996" s="8"/>
      <c r="I996" s="8"/>
      <c r="J996" s="8"/>
      <c r="K996" s="27"/>
      <c r="L996" s="8"/>
      <c r="M996" s="27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>
      <c r="A997" s="27"/>
      <c r="B997" s="27"/>
      <c r="C997" s="27"/>
      <c r="D997" s="27"/>
      <c r="E997" s="8"/>
      <c r="F997" s="8"/>
      <c r="G997" s="14"/>
      <c r="H997" s="8"/>
      <c r="I997" s="8"/>
      <c r="J997" s="8"/>
      <c r="K997" s="27"/>
      <c r="L997" s="8"/>
      <c r="M997" s="27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>
      <c r="A998" s="27"/>
      <c r="B998" s="27"/>
      <c r="C998" s="27"/>
      <c r="D998" s="27"/>
      <c r="E998" s="8"/>
      <c r="F998" s="8"/>
      <c r="G998" s="14"/>
      <c r="H998" s="8"/>
      <c r="I998" s="8"/>
      <c r="J998" s="8"/>
      <c r="K998" s="27"/>
      <c r="L998" s="8"/>
      <c r="M998" s="27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>
      <c r="A999" s="27"/>
      <c r="B999" s="27"/>
      <c r="C999" s="27"/>
      <c r="D999" s="27"/>
      <c r="E999" s="8"/>
      <c r="F999" s="8"/>
      <c r="G999" s="14"/>
      <c r="H999" s="8"/>
      <c r="I999" s="8"/>
      <c r="J999" s="8"/>
      <c r="K999" s="27"/>
      <c r="L999" s="8"/>
      <c r="M999" s="27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>
      <c r="A1000" s="27"/>
      <c r="B1000" s="27"/>
      <c r="C1000" s="27"/>
      <c r="D1000" s="27"/>
      <c r="E1000" s="8"/>
      <c r="F1000" s="8"/>
      <c r="G1000" s="14"/>
      <c r="H1000" s="8"/>
      <c r="I1000" s="8"/>
      <c r="J1000" s="8"/>
      <c r="K1000" s="27"/>
      <c r="L1000" s="8"/>
      <c r="M1000" s="27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drawing r:id="rId1"/>
</worksheet>
</file>